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dayishimiye\Documents\"/>
    </mc:Choice>
  </mc:AlternateContent>
  <xr:revisionPtr revIDLastSave="0" documentId="8_{FBA8B620-8891-4BFB-B0B2-BDD98B916B76}" xr6:coauthVersionLast="47" xr6:coauthVersionMax="47" xr10:uidLastSave="{00000000-0000-0000-0000-000000000000}"/>
  <bookViews>
    <workbookView xWindow="-98" yWindow="-98" windowWidth="20715" windowHeight="13276" tabRatio="945" xr2:uid="{00000000-000D-0000-FFFF-FFFF00000000}"/>
  </bookViews>
  <sheets>
    <sheet name="CAPE - DRAFT" sheetId="17" r:id="rId1"/>
    <sheet name="1 Revenue" sheetId="3" state="hidden" r:id="rId2"/>
    <sheet name="2 Salaries and benefits" sheetId="5" state="hidden" r:id="rId3"/>
    <sheet name="2.1 Excluded Staff Salaries" sheetId="39" state="hidden" r:id="rId4"/>
    <sheet name="2.2 Unionized Salaries" sheetId="38" state="hidden" r:id="rId5"/>
    <sheet name="2024 Positions" sheetId="33" state="hidden" r:id="rId6"/>
    <sheet name="3-4 Severance Pay" sheetId="7" state="hidden" r:id="rId7"/>
    <sheet name="5 Office_Telecom" sheetId="9" state="hidden" r:id="rId8"/>
    <sheet name="6 Education-Members &amp; Stewards" sheetId="11" state="hidden" r:id="rId9"/>
    <sheet name="7 Professional fees" sheetId="12" state="hidden" r:id="rId10"/>
    <sheet name="10 Office &amp; Admin" sheetId="13" state="hidden" r:id="rId11"/>
    <sheet name="9 Equipment " sheetId="15" state="hidden" r:id="rId12"/>
    <sheet name="13.2 Software &amp; Licenses" sheetId="14" state="hidden" r:id="rId13"/>
    <sheet name="12 Rent and operating expenses" sheetId="16" state="hidden" r:id="rId14"/>
    <sheet name="12 Travel" sheetId="18" state="hidden" r:id="rId15"/>
    <sheet name="13 Meetings" sheetId="19" state="hidden" r:id="rId16"/>
    <sheet name="14 Collective Bargaining" sheetId="21" state="hidden" r:id="rId17"/>
    <sheet name="17 CLC " sheetId="22" state="hidden" r:id="rId18"/>
    <sheet name="16 Local Rebates" sheetId="23" state="hidden" r:id="rId19"/>
    <sheet name="17 Donations" sheetId="24" state="hidden" r:id="rId20"/>
    <sheet name="18 Defense Funds" sheetId="25" state="hidden" r:id="rId21"/>
    <sheet name="19 Contingency" sheetId="26" state="hidden" r:id="rId22"/>
    <sheet name="CAPITAL RESERVES" sheetId="28" state="hidden" r:id="rId23"/>
    <sheet name="AMORTIZATION FY21-22" sheetId="29" state="hidden" r:id="rId24"/>
    <sheet name="AMORTIZATION FY23" sheetId="30" state="hidden" r:id="rId25"/>
    <sheet name="AMORTIZATION FY23-24" sheetId="35" state="hidden" r:id="rId26"/>
    <sheet name="Sheet1" sheetId="34" state="hidden" r:id="rId27"/>
  </sheets>
  <definedNames>
    <definedName name="_Hlk71638676" localSheetId="12">'13.2 Software &amp; Licenses'!#REF!</definedName>
    <definedName name="_xlnm.Print_Area" localSheetId="0">'CAPE - DRAFT'!$A$1:$N$122</definedName>
    <definedName name="_xlnm.Print_Titles" localSheetId="0">'CAPE - DRAFT'!$2:$8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1" i="38" l="1"/>
  <c r="D180" i="38"/>
  <c r="C180" i="38"/>
  <c r="C181" i="38"/>
  <c r="G100" i="39" l="1"/>
  <c r="D5" i="11"/>
  <c r="D4" i="11"/>
  <c r="E48" i="5" l="1"/>
  <c r="E47" i="5"/>
  <c r="G46" i="5"/>
  <c r="E46" i="5"/>
  <c r="D26" i="5"/>
  <c r="D35" i="5"/>
  <c r="G82" i="39"/>
  <c r="G91" i="39" s="1"/>
  <c r="G93" i="39" s="1"/>
  <c r="G87" i="39"/>
  <c r="G88" i="39"/>
  <c r="G89" i="39"/>
  <c r="G95" i="39" l="1"/>
  <c r="G102" i="39" l="1"/>
  <c r="G104" i="39" s="1"/>
  <c r="C4" i="5" s="1"/>
  <c r="G106" i="39" l="1"/>
  <c r="G108" i="39" s="1"/>
  <c r="D4" i="5" s="1"/>
  <c r="G159" i="38" l="1"/>
  <c r="G164" i="38"/>
  <c r="G165" i="38"/>
  <c r="G166" i="38"/>
  <c r="D10" i="5"/>
  <c r="C10" i="5"/>
  <c r="D32" i="14"/>
  <c r="D6" i="11"/>
  <c r="E6" i="11" s="1"/>
  <c r="E4" i="11"/>
  <c r="F50" i="11"/>
  <c r="D7" i="13"/>
  <c r="D26" i="13"/>
  <c r="E6" i="16"/>
  <c r="D6" i="16"/>
  <c r="E5" i="16"/>
  <c r="D5" i="16"/>
  <c r="E52" i="16"/>
  <c r="E51" i="16"/>
  <c r="E53" i="16" s="1"/>
  <c r="E5" i="22"/>
  <c r="D5" i="22"/>
  <c r="E6" i="3"/>
  <c r="C30" i="3"/>
  <c r="D6" i="3"/>
  <c r="C29" i="3"/>
  <c r="E4" i="3"/>
  <c r="D4" i="3"/>
  <c r="D2" i="3"/>
  <c r="C23" i="3"/>
  <c r="E5" i="11" l="1"/>
  <c r="G168" i="38"/>
  <c r="G170" i="38" s="1"/>
  <c r="G172" i="38" s="1"/>
  <c r="G174" i="38" s="1"/>
  <c r="G176" i="38" s="1"/>
  <c r="G183" i="38" s="1"/>
  <c r="G185" i="38" s="1"/>
  <c r="D4" i="16"/>
  <c r="G187" i="38" l="1"/>
  <c r="C5" i="5" s="1"/>
  <c r="C6" i="5" l="1"/>
  <c r="G189" i="38"/>
  <c r="G191" i="38"/>
  <c r="E4" i="16"/>
  <c r="D9" i="13"/>
  <c r="E9" i="13" s="1"/>
  <c r="D23" i="13"/>
  <c r="D31" i="13" s="1"/>
  <c r="F48" i="5"/>
  <c r="F47" i="5"/>
  <c r="F5" i="33"/>
  <c r="K5" i="33"/>
  <c r="F10" i="33" s="1"/>
  <c r="L5" i="33"/>
  <c r="M5" i="33"/>
  <c r="E5" i="33"/>
  <c r="F4" i="33"/>
  <c r="F3" i="33"/>
  <c r="F2" i="33"/>
  <c r="I4" i="33"/>
  <c r="G4" i="33"/>
  <c r="H4" i="33"/>
  <c r="D5" i="5" l="1"/>
  <c r="D6" i="5" s="1"/>
  <c r="N4" i="33"/>
  <c r="J4" i="33"/>
  <c r="O4" i="33" s="1"/>
  <c r="H8" i="33" l="1"/>
  <c r="H9" i="33" s="1"/>
  <c r="N13" i="30" l="1"/>
  <c r="D8" i="16" l="1"/>
  <c r="E8" i="16"/>
  <c r="F8" i="16"/>
  <c r="D9" i="16"/>
  <c r="E9" i="16"/>
  <c r="F9" i="16"/>
  <c r="E12" i="16"/>
  <c r="E13" i="16"/>
  <c r="N3" i="33" l="1"/>
  <c r="J3" i="33"/>
  <c r="I3" i="33"/>
  <c r="H2" i="33"/>
  <c r="H3" i="33"/>
  <c r="G2" i="33"/>
  <c r="G5" i="33" s="1"/>
  <c r="G3" i="33"/>
  <c r="H5" i="33" l="1"/>
  <c r="O3" i="33"/>
  <c r="E18" i="12" l="1"/>
  <c r="F5" i="7"/>
  <c r="F4" i="7"/>
  <c r="D13" i="19" l="1"/>
  <c r="D12" i="19"/>
  <c r="D10" i="19"/>
  <c r="D9" i="19"/>
  <c r="D7" i="19"/>
  <c r="D6" i="19"/>
  <c r="D4" i="19"/>
  <c r="N12" i="30" l="1"/>
  <c r="I23" i="29" l="1"/>
  <c r="M13" i="35"/>
  <c r="M12" i="35"/>
  <c r="M11" i="35"/>
  <c r="H13" i="35"/>
  <c r="H12" i="35"/>
  <c r="H11" i="35"/>
  <c r="N13" i="35" l="1"/>
  <c r="L13" i="35"/>
  <c r="N12" i="35"/>
  <c r="O12" i="35" s="1"/>
  <c r="L12" i="35"/>
  <c r="N11" i="35"/>
  <c r="O11" i="35" s="1"/>
  <c r="L11" i="35"/>
  <c r="J14" i="30"/>
  <c r="L10" i="30"/>
  <c r="H10" i="35" s="1"/>
  <c r="N10" i="35" s="1"/>
  <c r="J13" i="30"/>
  <c r="L13" i="30" s="1"/>
  <c r="H19" i="29"/>
  <c r="F5" i="34"/>
  <c r="G3" i="34"/>
  <c r="G2" i="34"/>
  <c r="L10" i="35" l="1"/>
  <c r="Q11" i="35"/>
  <c r="Q12" i="35"/>
  <c r="O13" i="35"/>
  <c r="Q13" i="35" s="1"/>
  <c r="O13" i="30"/>
  <c r="Q13" i="30" s="1"/>
  <c r="F8" i="19" l="1"/>
  <c r="E8" i="19"/>
  <c r="D8" i="19" s="1"/>
  <c r="E5" i="7"/>
  <c r="E4" i="7"/>
  <c r="I2" i="33" l="1"/>
  <c r="I5" i="33" s="1"/>
  <c r="J2" i="33" l="1"/>
  <c r="J5" i="33" s="1"/>
  <c r="F8" i="33" s="1"/>
  <c r="F12" i="33" s="1"/>
  <c r="N2" i="33"/>
  <c r="N5" i="33" s="1"/>
  <c r="F9" i="33" s="1"/>
  <c r="O2" i="33" l="1"/>
  <c r="O5" i="33" s="1"/>
  <c r="H17" i="13" l="1"/>
  <c r="I21" i="29" l="1"/>
  <c r="I19" i="29"/>
  <c r="M23" i="29"/>
  <c r="N23" i="29" s="1"/>
  <c r="K23" i="29"/>
  <c r="K22" i="29"/>
  <c r="O22" i="29" s="1"/>
  <c r="M21" i="29"/>
  <c r="N21" i="29" s="1"/>
  <c r="K21" i="29"/>
  <c r="H20" i="29"/>
  <c r="M20" i="29" s="1"/>
  <c r="N20" i="29" s="1"/>
  <c r="M19" i="29"/>
  <c r="N19" i="29" s="1"/>
  <c r="K19" i="29" l="1"/>
  <c r="O21" i="29"/>
  <c r="O23" i="29"/>
  <c r="M25" i="29"/>
  <c r="E4" i="29" s="1"/>
  <c r="K20" i="29"/>
  <c r="O20" i="29" l="1"/>
  <c r="O19" i="29"/>
  <c r="M14" i="29" l="1"/>
  <c r="N14" i="29" s="1"/>
  <c r="M14" i="30" s="1"/>
  <c r="K13" i="29"/>
  <c r="O13" i="29" s="1"/>
  <c r="K14" i="29"/>
  <c r="F9" i="12"/>
  <c r="N14" i="30" l="1"/>
  <c r="O14" i="30" s="1"/>
  <c r="M14" i="35" s="1"/>
  <c r="L14" i="30"/>
  <c r="H14" i="35" s="1"/>
  <c r="O14" i="29"/>
  <c r="N14" i="35" l="1"/>
  <c r="L14" i="35"/>
  <c r="Q14" i="30"/>
  <c r="M12" i="29"/>
  <c r="N12" i="29" s="1"/>
  <c r="M12" i="30" s="1"/>
  <c r="K12" i="29"/>
  <c r="L12" i="30" s="1"/>
  <c r="H11" i="29"/>
  <c r="H10" i="29"/>
  <c r="M10" i="29" s="1"/>
  <c r="N10" i="29" s="1"/>
  <c r="Q14" i="35" l="1"/>
  <c r="O14" i="35"/>
  <c r="N15" i="35"/>
  <c r="D4" i="35" s="1"/>
  <c r="M10" i="30"/>
  <c r="O12" i="29"/>
  <c r="O12" i="30"/>
  <c r="Q12" i="30" s="1"/>
  <c r="M11" i="29" l="1"/>
  <c r="K10" i="29"/>
  <c r="O10" i="29" s="1"/>
  <c r="N11" i="29" l="1"/>
  <c r="M11" i="30" s="1"/>
  <c r="M16" i="29"/>
  <c r="D4" i="29" s="1"/>
  <c r="N10" i="30"/>
  <c r="K11" i="29"/>
  <c r="O11" i="29" l="1"/>
  <c r="O10" i="30" l="1"/>
  <c r="N11" i="30"/>
  <c r="N15" i="30" s="1"/>
  <c r="L11" i="30"/>
  <c r="Q10" i="30" l="1"/>
  <c r="M10" i="35"/>
  <c r="O10" i="35" s="1"/>
  <c r="Q10" i="35" s="1"/>
  <c r="O11" i="30"/>
  <c r="Q11" i="30" s="1"/>
  <c r="D4" i="30"/>
  <c r="D18" i="5"/>
  <c r="D21" i="5" s="1"/>
  <c r="D33" i="5" l="1"/>
  <c r="D37" i="5" s="1"/>
  <c r="D7" i="5" s="1"/>
  <c r="D28" i="5"/>
  <c r="C7" i="5" s="1"/>
  <c r="G48" i="5" l="1"/>
  <c r="G47" i="5"/>
  <c r="G52" i="5" l="1"/>
  <c r="C8" i="5" s="1"/>
  <c r="E7" i="13"/>
  <c r="E19" i="12" l="1"/>
  <c r="F8" i="9" l="1"/>
  <c r="D8" i="5" l="1"/>
  <c r="F4" i="12"/>
</calcChain>
</file>

<file path=xl/sharedStrings.xml><?xml version="1.0" encoding="utf-8"?>
<sst xmlns="http://schemas.openxmlformats.org/spreadsheetml/2006/main" count="2323" uniqueCount="780">
  <si>
    <t>Budget/</t>
  </si>
  <si>
    <t>Actuals/</t>
  </si>
  <si>
    <t>Réels</t>
  </si>
  <si>
    <t>Budget</t>
  </si>
  <si>
    <t>2021-2022</t>
  </si>
  <si>
    <t>2022-2023</t>
  </si>
  <si>
    <t>2023-2024</t>
  </si>
  <si>
    <t>Revenue</t>
  </si>
  <si>
    <t>Dues</t>
  </si>
  <si>
    <t>Retroactive Dues - Phoenix</t>
  </si>
  <si>
    <t>Interest (Investments)</t>
  </si>
  <si>
    <t xml:space="preserve">Recovery of unsupported expenses </t>
  </si>
  <si>
    <t>Special Levy</t>
  </si>
  <si>
    <t>Salaries &amp; Benefits</t>
  </si>
  <si>
    <t>Salaires et avantages sociaux</t>
  </si>
  <si>
    <t>Pension</t>
  </si>
  <si>
    <t>Benefits</t>
  </si>
  <si>
    <t>Comp/Vacation</t>
  </si>
  <si>
    <t>Temporary Staff</t>
  </si>
  <si>
    <t>Personnel temporaire</t>
  </si>
  <si>
    <t>Staff Severance Pay</t>
  </si>
  <si>
    <t>Management Severance Pay</t>
  </si>
  <si>
    <t>External Printing</t>
  </si>
  <si>
    <t>Translation</t>
  </si>
  <si>
    <t>Telephone</t>
  </si>
  <si>
    <t>Internet</t>
  </si>
  <si>
    <t xml:space="preserve">Promotional Material </t>
  </si>
  <si>
    <t>Training and Development</t>
  </si>
  <si>
    <t>Travel</t>
  </si>
  <si>
    <t>Déplacements</t>
  </si>
  <si>
    <t>Salary reimbursement</t>
  </si>
  <si>
    <t>Staff Training &amp; Development</t>
  </si>
  <si>
    <t>Mgt. Training &amp; Development</t>
  </si>
  <si>
    <t>President Training &amp; Development</t>
  </si>
  <si>
    <t>Language training</t>
  </si>
  <si>
    <t>Labour Relations Training</t>
  </si>
  <si>
    <t>Professional Fees</t>
  </si>
  <si>
    <t>Legal - Membership Representation</t>
  </si>
  <si>
    <t>Legal -Bylaw 5, Constitution</t>
  </si>
  <si>
    <t xml:space="preserve">Legal - Internal </t>
  </si>
  <si>
    <t>Legal - Contingency Fund</t>
  </si>
  <si>
    <t>Mgmt fees - Cash and Pension Investments</t>
  </si>
  <si>
    <t>Consultants fees</t>
  </si>
  <si>
    <t>Audit</t>
  </si>
  <si>
    <t>9.1</t>
  </si>
  <si>
    <t>Business Equipment</t>
  </si>
  <si>
    <t>9.2</t>
  </si>
  <si>
    <t>Office Furniture</t>
  </si>
  <si>
    <t>Équipement de bureau</t>
  </si>
  <si>
    <t>Rent and Operating Expenses</t>
  </si>
  <si>
    <t>Information Technology Expense</t>
  </si>
  <si>
    <t>LRO representational services</t>
  </si>
  <si>
    <t>Conferences</t>
  </si>
  <si>
    <t>Conférences</t>
  </si>
  <si>
    <t xml:space="preserve">President Regional Council Travel </t>
  </si>
  <si>
    <t xml:space="preserve">Travel to locals : President </t>
  </si>
  <si>
    <t>Travel to locals: Staff &amp; NEC</t>
  </si>
  <si>
    <t>Meetings</t>
  </si>
  <si>
    <t>Comité exécutif national</t>
  </si>
  <si>
    <t>Comités</t>
  </si>
  <si>
    <t>13.10</t>
  </si>
  <si>
    <t>Conseils régionaux</t>
  </si>
  <si>
    <t>Collective Bargaining</t>
  </si>
  <si>
    <t>CLC</t>
  </si>
  <si>
    <t>CLC per capita taxes</t>
  </si>
  <si>
    <t>Local Rebates</t>
  </si>
  <si>
    <t>Remises aux sections locales</t>
  </si>
  <si>
    <t>Donations</t>
  </si>
  <si>
    <t>Contingency</t>
  </si>
  <si>
    <t>Executive</t>
  </si>
  <si>
    <t>Administrative</t>
  </si>
  <si>
    <t>Administratif</t>
  </si>
  <si>
    <t>Total expenses</t>
  </si>
  <si>
    <t>Total des dépenses</t>
  </si>
  <si>
    <t>Members Resolutions</t>
  </si>
  <si>
    <t>Résolutions des membres</t>
  </si>
  <si>
    <t>Surplus (deficit) end of period</t>
  </si>
  <si>
    <t>REVENUE / RECETTES</t>
  </si>
  <si>
    <t>Line # / Ligne #</t>
  </si>
  <si>
    <t>Budget Line name /
Nom de la ligne budgétaire</t>
  </si>
  <si>
    <t>Explanation / Assumptions</t>
  </si>
  <si>
    <t>Explications / Hypothèses</t>
  </si>
  <si>
    <t>Dues / Cotisations</t>
  </si>
  <si>
    <t>Interest (investment)  / Intérêts (Investissements</t>
  </si>
  <si>
    <t>SALARIES AND BENEFITS / SALAIRES ET AVANTAGES SOCIAUX</t>
  </si>
  <si>
    <t>Management / Direction</t>
  </si>
  <si>
    <t>Staff / employé</t>
  </si>
  <si>
    <t>Pension / Régime de retraite</t>
  </si>
  <si>
    <r>
      <rPr>
        <b/>
        <sz val="9"/>
        <color theme="1"/>
        <rFont val="Verdana"/>
        <family val="2"/>
      </rPr>
      <t>14,5 % des postes 2.1 et 2.2</t>
    </r>
    <r>
      <rPr>
        <sz val="11"/>
        <color theme="1"/>
        <rFont val="Calibri"/>
        <family val="2"/>
        <scheme val="minor"/>
      </rPr>
      <t xml:space="preserve"> plus </t>
    </r>
    <r>
      <rPr>
        <b/>
        <sz val="9"/>
        <color theme="1"/>
        <rFont val="Verdana"/>
        <family val="2"/>
      </rPr>
      <t xml:space="preserve">un coussin de 100 000 $  </t>
    </r>
    <r>
      <rPr>
        <sz val="11"/>
        <color theme="1"/>
        <rFont val="Calibri"/>
        <family val="2"/>
        <scheme val="minor"/>
      </rPr>
      <t xml:space="preserve">pour les honoraires et les coûts additionnels (MS, paiements en souffrance, etc.). Ce calcul du poste est directement lié aux postes 2.1 et 2.2. </t>
    </r>
  </si>
  <si>
    <t>Benefits / avantages sociaux</t>
  </si>
  <si>
    <t>Comp/Vacation  / Vacances et congés compensatoires</t>
  </si>
  <si>
    <t>Temporary Staff / Personnel temporaire</t>
  </si>
  <si>
    <t>Line 2,4 calculation / Calcul de la ligne 2,4</t>
  </si>
  <si>
    <t>Actual Number of employees / Nombre actuel d'employé</t>
  </si>
  <si>
    <t>Actual Average per employee per month / Moyenne actuelle par employé par mois</t>
  </si>
  <si>
    <t>Total for insurance cost  / Total pour le coût des assurances</t>
  </si>
  <si>
    <t>Health solution Plus account / Compte de solution santé plus</t>
  </si>
  <si>
    <t>per employees per calendar year / Par employé par année civile</t>
  </si>
  <si>
    <t>New staff eligible to insurance (prorated) / Nouveaux employés eligibles aux assurances (proraté)</t>
  </si>
  <si>
    <t>Total for Health account / Total compte de dépense</t>
  </si>
  <si>
    <t>Total insurance cost / Coût total des assurances</t>
  </si>
  <si>
    <t>Increase of 2% of premium (estimation)  / Augmentation de 2% de la prime (estimation)</t>
  </si>
  <si>
    <t>Total health account / Total compte de santé</t>
  </si>
  <si>
    <t>Line 2,5 calculation / Calcul de la ligne 2,5</t>
  </si>
  <si>
    <t xml:space="preserve">Salaries (GL 2010 and 2020) / Salaires </t>
  </si>
  <si>
    <t>Vacation and OT payout (GL 2050) / Vacances et temps supplémentaires</t>
  </si>
  <si>
    <t>%</t>
  </si>
  <si>
    <t>AVERAGE / MOYENNE</t>
  </si>
  <si>
    <t>Start Date</t>
  </si>
  <si>
    <t>Position Title</t>
  </si>
  <si>
    <t>Details</t>
  </si>
  <si>
    <t>Levels</t>
  </si>
  <si>
    <t>Annual Salary (Mid-Range)</t>
  </si>
  <si>
    <t>Annual Benefits (Canada Life - Family Coverage)</t>
  </si>
  <si>
    <t xml:space="preserve">Employer CPP </t>
  </si>
  <si>
    <t>Employer EI</t>
  </si>
  <si>
    <t>Employer Health Tax</t>
  </si>
  <si>
    <t>WSIB</t>
  </si>
  <si>
    <t>Transportation Allowance</t>
  </si>
  <si>
    <t>Wellness Allowance</t>
  </si>
  <si>
    <t>OHIP</t>
  </si>
  <si>
    <t>Employer Pension Contributions (14.5%)</t>
  </si>
  <si>
    <t>Totals</t>
  </si>
  <si>
    <t>Indeterminate Position</t>
  </si>
  <si>
    <t>level 5</t>
  </si>
  <si>
    <t>Pay Equity Officer</t>
  </si>
  <si>
    <t>Indeterminate Position (replacing level 4)</t>
  </si>
  <si>
    <t>level 6</t>
  </si>
  <si>
    <t>Line Item 2.1</t>
  </si>
  <si>
    <t>Line Item 2.2</t>
  </si>
  <si>
    <t>Line Item 2.3</t>
  </si>
  <si>
    <t>Line Item 2.4</t>
  </si>
  <si>
    <t>Line Item 2.5</t>
  </si>
  <si>
    <t>Total</t>
  </si>
  <si>
    <t>LRO</t>
  </si>
  <si>
    <t>SEVERANCE PAY / INDEMNITÉS DE DÉPART</t>
  </si>
  <si>
    <t>Staff Severance Pay / Indemnité de départ - Personel</t>
  </si>
  <si>
    <r>
      <t xml:space="preserve">Document Severance identifies the liability calculations for employees to </t>
    </r>
    <r>
      <rPr>
        <b/>
        <sz val="11"/>
        <color theme="1"/>
        <rFont val="Calibri"/>
        <family val="2"/>
      </rPr>
      <t>$424K for YE22.</t>
    </r>
    <r>
      <rPr>
        <sz val="11"/>
        <color theme="1"/>
        <rFont val="Calibri"/>
        <family val="2"/>
        <scheme val="minor"/>
      </rPr>
      <t xml:space="preserve"> It is fair to assume that not all employees will cash out their severance, as well some employees have not reached the 5 year threshhold of withdrawing funds (22/34 will not reach 5 years during this FY). </t>
    </r>
    <r>
      <rPr>
        <b/>
        <sz val="11"/>
        <color theme="1"/>
        <rFont val="Calibri"/>
        <family val="2"/>
        <scheme val="minor"/>
      </rPr>
      <t>Therefore 1/3rd of the total amount would be a fair estimate.</t>
    </r>
  </si>
  <si>
    <r>
      <rPr>
        <sz val="11"/>
        <rFont val="Calibri"/>
        <family val="2"/>
        <scheme val="minor"/>
      </rPr>
      <t>Le document de calcul des indemnités de départ indique qu</t>
    </r>
    <r>
      <rPr>
        <sz val="11"/>
        <color theme="1"/>
        <rFont val="Calibri"/>
        <family val="2"/>
        <scheme val="minor"/>
      </rPr>
      <t>e le calcul des obligations liées aux employés est de 424</t>
    </r>
    <r>
      <rPr>
        <b/>
        <sz val="11"/>
        <color theme="1"/>
        <rFont val="Calibri"/>
        <family val="2"/>
        <scheme val="minor"/>
      </rPr>
      <t> 000 $ pour l’exercice 2021</t>
    </r>
    <r>
      <rPr>
        <sz val="11"/>
        <color theme="1"/>
        <rFont val="Calibri"/>
        <family val="2"/>
        <scheme val="minor"/>
      </rPr>
      <t xml:space="preserve">. Il est juste de présumer que tous les employés ne toucheront pas leur indemnité de départ, et que certains employés n’ont pas atteint le seuil de 5 ans pour le retrait des fonds (22/34 n’atteindront pas 5 ans au cours de l’exercice). </t>
    </r>
    <r>
      <rPr>
        <b/>
        <sz val="11"/>
        <color theme="1"/>
        <rFont val="Calibri"/>
        <family val="2"/>
        <scheme val="minor"/>
      </rPr>
      <t>Par conséquent, le tiers du montant total serait une estimation juste</t>
    </r>
    <r>
      <rPr>
        <b/>
        <sz val="11"/>
        <color theme="1"/>
        <rFont val="Verdana"/>
        <family val="2"/>
      </rPr>
      <t>.</t>
    </r>
  </si>
  <si>
    <t>Management Severance Pay / Indemnité de départ - Direction</t>
  </si>
  <si>
    <r>
      <t xml:space="preserve">Document Severance identifies liability for management as </t>
    </r>
    <r>
      <rPr>
        <b/>
        <sz val="11"/>
        <color theme="1"/>
        <rFont val="Calibri"/>
        <family val="2"/>
      </rPr>
      <t>$66K</t>
    </r>
    <r>
      <rPr>
        <sz val="11"/>
        <color theme="1"/>
        <rFont val="Calibri"/>
        <family val="2"/>
        <scheme val="minor"/>
      </rPr>
      <t>. It is fair to assume that not all management would c</t>
    </r>
    <r>
      <rPr>
        <b/>
        <sz val="11"/>
        <color theme="1"/>
        <rFont val="Calibri"/>
        <family val="2"/>
        <scheme val="minor"/>
      </rPr>
      <t>ash out their severance within one fiscal year.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Half of this amount is a fair estimate.</t>
    </r>
  </si>
  <si>
    <r>
      <t>Le document de calcul des indemnités de départ indique que les obligations liées à la direction s’établissent à</t>
    </r>
    <r>
      <rPr>
        <b/>
        <sz val="9"/>
        <color theme="1"/>
        <rFont val="Verdana"/>
        <family val="2"/>
      </rPr>
      <t xml:space="preserve"> 66 000 $</t>
    </r>
    <r>
      <rPr>
        <sz val="11"/>
        <color theme="1"/>
        <rFont val="Calibri"/>
        <family val="2"/>
        <scheme val="minor"/>
      </rPr>
      <t xml:space="preserve">. Il est juste de présumer que tous les dirigeants </t>
    </r>
    <r>
      <rPr>
        <b/>
        <sz val="9"/>
        <color theme="1"/>
        <rFont val="Verdana"/>
        <family val="2"/>
      </rPr>
      <t>n’encaisseront pas leur indemnité de départ au cours d’un exercice</t>
    </r>
    <r>
      <rPr>
        <sz val="11"/>
        <color theme="1"/>
        <rFont val="Calibri"/>
        <family val="2"/>
        <scheme val="minor"/>
      </rPr>
      <t>.</t>
    </r>
    <r>
      <rPr>
        <b/>
        <sz val="9"/>
        <color theme="1"/>
        <rFont val="Verdana"/>
        <family val="2"/>
      </rPr>
      <t xml:space="preserve"> La moitié de ce montant est une estimation juste.</t>
    </r>
  </si>
  <si>
    <t>COMMUNICATION / COMMUNICATION</t>
  </si>
  <si>
    <t>External Printing / Impression</t>
  </si>
  <si>
    <t>Postage / Affranchissement</t>
  </si>
  <si>
    <t>Translation / Traduction</t>
  </si>
  <si>
    <t>Telephone / Téléphone</t>
  </si>
  <si>
    <r>
      <t xml:space="preserve">Monthly plan of </t>
    </r>
    <r>
      <rPr>
        <b/>
        <sz val="11"/>
        <rFont val="Calibri"/>
        <family val="2"/>
        <scheme val="minor"/>
      </rPr>
      <t>$75/month</t>
    </r>
    <r>
      <rPr>
        <sz val="11"/>
        <rFont val="Calibri"/>
        <family val="2"/>
        <scheme val="minor"/>
      </rPr>
      <t xml:space="preserve"> (including line + hardware with TELUS) times 52 staff will result in $46,8K a year plus cost of VoIP of around $15K plus a buffer of 4,000$ (rounded) to account for roaming, additional fees. </t>
    </r>
  </si>
  <si>
    <r>
      <t xml:space="preserve">Le plan mensuel de </t>
    </r>
    <r>
      <rPr>
        <b/>
        <sz val="11"/>
        <rFont val="Calibri"/>
        <family val="2"/>
        <scheme val="minor"/>
      </rPr>
      <t>75 $ par mois</t>
    </r>
    <r>
      <rPr>
        <sz val="11"/>
        <rFont val="Calibri"/>
        <family val="2"/>
        <scheme val="minor"/>
      </rPr>
      <t xml:space="preserve"> (incluant la ligne + le matériel avec TELUS) s’établira à 46 800 $ par année pour 52 employés, plus le coût du service voix sur IP d’environ 15 000 $, plus un coussin de 4 000 $ (arrondi). Ce poste est ensuite légèrement augmenté pour tenir compte de l’itinérance, des frais supplémentaires, etc. </t>
    </r>
  </si>
  <si>
    <t>Internet / Internet</t>
  </si>
  <si>
    <r>
      <t xml:space="preserve">Negotiated set term for five years for upgraded internet (150mb up/down vs current 50mb up/down) while remaining within already allocated budget. This results to costs of </t>
    </r>
    <r>
      <rPr>
        <b/>
        <sz val="11"/>
        <color theme="1"/>
        <rFont val="Calibri"/>
        <family val="2"/>
        <scheme val="minor"/>
      </rPr>
      <t>$10,000 per year (around 750$/month)</t>
    </r>
    <r>
      <rPr>
        <sz val="11"/>
        <color theme="1"/>
        <rFont val="Calibri"/>
        <family val="2"/>
        <scheme val="minor"/>
      </rPr>
      <t xml:space="preserve"> with $2K as buffer. </t>
    </r>
  </si>
  <si>
    <r>
      <t>Négociation pour la mise à niveau d’internet sur 5 ans (150 Mo connexion ascendante/descendante par rapport à 50 Mo connexion ascendante/descendante actuellement) tout en respectant le budget déjà alloué. Cela se traduit par des coûts de 10</t>
    </r>
    <r>
      <rPr>
        <b/>
        <sz val="9"/>
        <color theme="1"/>
        <rFont val="Verdana"/>
        <family val="2"/>
      </rPr>
      <t> 000 $ par année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9"/>
        <color theme="1"/>
        <rFont val="Verdana"/>
        <family val="2"/>
      </rPr>
      <t xml:space="preserve">(environ 750 $/mois) </t>
    </r>
    <r>
      <rPr>
        <sz val="11"/>
        <color theme="1"/>
        <rFont val="Calibri"/>
        <family val="2"/>
        <scheme val="minor"/>
      </rPr>
      <t>avec 2 000 $ comme marge.</t>
    </r>
  </si>
  <si>
    <t>Promotional Material / Matérial promotionel</t>
  </si>
  <si>
    <t>Accommodations&amp;Food / 
Hébergement et nourriture</t>
  </si>
  <si>
    <t>Augmenter le montant pour l'inflation (5%)</t>
  </si>
  <si>
    <t>Travel / 
Déplacements</t>
  </si>
  <si>
    <t>Salary reimbursement /
Remboursements de salaires</t>
  </si>
  <si>
    <t xml:space="preserve">Amount carried forward from prior year
</t>
  </si>
  <si>
    <t>Montant reporté de l'année précédente</t>
  </si>
  <si>
    <t>PROFESIONNAL FEES / HONORAIRES PROFESIONELS</t>
  </si>
  <si>
    <t>Legal - Membership Representation /  
Juridique/Arbitrage (Serv. prof.)</t>
  </si>
  <si>
    <t xml:space="preserve">Increase based on actual spend over the past 12 months
</t>
  </si>
  <si>
    <t>Augmentation basée sur les dépenses réelles au cours des 12 derniers mois</t>
  </si>
  <si>
    <t>Legal -Bylaw 5, Constitution /
 Juridique/Arbitrage (Pétition)</t>
  </si>
  <si>
    <t>Legal - Internal /
 Juridique/Arbitrage (Interne)</t>
  </si>
  <si>
    <t>Legal - Contingency Fund /
Juridique frais imprévus</t>
  </si>
  <si>
    <t>Mgmt fees - Cash and Pension Investments / 
 Frais de gestion - Placements en espèces et en régimes de retraite</t>
  </si>
  <si>
    <t xml:space="preserve">Increase based on actual spend over past 12 months
</t>
  </si>
  <si>
    <t>Consultants fees /
 Honoraires de consultants</t>
  </si>
  <si>
    <t>No longer includes temporary staffing costs (see 2.6)</t>
  </si>
  <si>
    <t>Ne comprend plus les frais de personnel temporaire (voir 2.6)</t>
  </si>
  <si>
    <t xml:space="preserve"> </t>
  </si>
  <si>
    <t>Audit /  
Vérification</t>
  </si>
  <si>
    <t>7,6 Consultants fees estimation - details / Honoraires de consultants - détails</t>
  </si>
  <si>
    <t>Deloitte</t>
  </si>
  <si>
    <t>Consulting services for Finance Dept</t>
  </si>
  <si>
    <t>Mercer</t>
  </si>
  <si>
    <t>Comms: Graphic design, video/audio production, copywriting</t>
  </si>
  <si>
    <t>Headhunter - LRO/
Chasseur de tête - LRO</t>
  </si>
  <si>
    <t>Chief of Staff (level 7) &amp; 2 LROs</t>
  </si>
  <si>
    <r>
      <t xml:space="preserve">Total </t>
    </r>
    <r>
      <rPr>
        <b/>
        <sz val="11"/>
        <rFont val="Calibri"/>
        <family val="2"/>
      </rPr>
      <t>excluding ongoing project</t>
    </r>
    <r>
      <rPr>
        <b/>
        <sz val="11"/>
        <rFont val="Calibri"/>
        <family val="2"/>
        <scheme val="minor"/>
      </rPr>
      <t xml:space="preserve"> /
Total excluant les honoraires professionnels pour les projets spéciaux</t>
    </r>
  </si>
  <si>
    <t>OFFICE EXPENSES / DÉPENSES DE BUREAU</t>
  </si>
  <si>
    <t xml:space="preserve">  Supplies /
 Matériel de bureau</t>
  </si>
  <si>
    <t>Amount carried forward from prior year</t>
  </si>
  <si>
    <t xml:space="preserve">  Rental of equipment /
 Location de matériel</t>
  </si>
  <si>
    <t>Decrease slightly based on actual spend</t>
  </si>
  <si>
    <t>Diminuer légèrement en fonction des dépenses réelles</t>
  </si>
  <si>
    <t xml:space="preserve">  Reference material /
 Matériel de référence</t>
  </si>
  <si>
    <t>Based on calculations below</t>
  </si>
  <si>
    <t>Sur la base des calculs ci-dessous</t>
  </si>
  <si>
    <t xml:space="preserve">  Repairs and maintenance /
 Réparations et entretien</t>
  </si>
  <si>
    <t xml:space="preserve">  Insurance / Assurances</t>
  </si>
  <si>
    <r>
      <t xml:space="preserve">Assurance de Smith Petrie Carr &amp; Scott pour : Assurance responsabilité fiduciaire (2,500$), Multi Perils (5,700$) et Prime d'assurance (31,200$).
Il semble y avoir une </t>
    </r>
    <r>
      <rPr>
        <b/>
        <sz val="11"/>
        <color theme="1"/>
        <rFont val="Calibri"/>
        <family val="2"/>
      </rPr>
      <t>augmentation de la prime sur l'année</t>
    </r>
    <r>
      <rPr>
        <sz val="11"/>
        <color theme="1"/>
        <rFont val="Calibri"/>
        <family val="2"/>
        <scheme val="minor"/>
      </rPr>
      <t xml:space="preserve"> (19K$ pour FY20 vs 31K$ pour FY21). Sur la base d'un coût d'assurance FY21 de 40 000 </t>
    </r>
    <r>
      <rPr>
        <b/>
        <sz val="11"/>
        <color theme="1"/>
        <rFont val="Calibri"/>
        <family val="2"/>
        <scheme val="minor"/>
      </rPr>
      <t>$, un montant de 50 000 $ devrait être budgété</t>
    </r>
    <r>
      <rPr>
        <sz val="11"/>
        <color theme="1"/>
        <rFont val="Calibri"/>
        <family val="2"/>
        <scheme val="minor"/>
      </rPr>
      <t xml:space="preserve"> pour prévoir une variation additionnelle de 10,000 $ au cas où la prime augmenterait à nouveau.  </t>
    </r>
  </si>
  <si>
    <t xml:space="preserve">  Bank charges / Frais bancaires</t>
  </si>
  <si>
    <t xml:space="preserve">  Miscellaneous / Divers</t>
  </si>
  <si>
    <t>Relocation Expenses / Frais de déménagement</t>
  </si>
  <si>
    <t>Globe and mail - monthly subs / Abonnement mensuel</t>
  </si>
  <si>
    <t>EQUIPMENT / ACHATS D'ÉQUIPEMENTS</t>
  </si>
  <si>
    <t>Business Equipment / Équipement d'affaires</t>
  </si>
  <si>
    <r>
      <t xml:space="preserve">This line budget item GL contains laptop, tablets, monitors and laptop/tablets accessories. 
</t>
    </r>
    <r>
      <rPr>
        <b/>
        <sz val="11"/>
        <color theme="1"/>
        <rFont val="Calibri"/>
        <family val="2"/>
      </rPr>
      <t xml:space="preserve">Laptop and tablets will now be capitalized and be amortised. See amortization tab. 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</si>
  <si>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Ce poste budgétaire contient des ordinateurs portables, des tablettes, des moniteurs et des accessoires pour ordinateurs portables/tablettes.
</t>
    </r>
    <r>
      <rPr>
        <b/>
        <sz val="11"/>
        <color theme="1"/>
        <rFont val="Calibri"/>
        <family val="2"/>
      </rPr>
      <t>Les ordinateurs portables et les tablettes seront désormais capitalisés et amortis. Voir onglet amortissement.</t>
    </r>
  </si>
  <si>
    <t>Office Furniture /Équipement de bureau</t>
  </si>
  <si>
    <r>
      <t xml:space="preserve">This line budget item GL contains mostly chair and desk for staff, which can be capitalised and amortised. 
</t>
    </r>
    <r>
      <rPr>
        <b/>
        <sz val="11"/>
        <color theme="1"/>
        <rFont val="Calibri"/>
        <family val="2"/>
      </rPr>
      <t xml:space="preserve">This line item will now be capitalised and be amortised. See amortization tab. 
</t>
    </r>
  </si>
  <si>
    <r>
      <t xml:space="preserve">Ce poste budgétaire contient principalement chaises et bureaux pour le personnel, qui peuvent être capitalisés et amortis.
</t>
    </r>
    <r>
      <rPr>
        <b/>
        <sz val="11"/>
        <color theme="1"/>
        <rFont val="Calibri"/>
        <family val="2"/>
      </rPr>
      <t>Ce poste sera désormais capitalisé et amorti. Voir onglet amortissement.</t>
    </r>
  </si>
  <si>
    <t>RENT AND OPERATING EXPENSES / DÉPENSES DE LOCATION ET D'EXPLOITATION</t>
  </si>
  <si>
    <t xml:space="preserve">  Rent / Loyer</t>
  </si>
  <si>
    <t xml:space="preserve">  Operating / Dépenses d'exploitation</t>
  </si>
  <si>
    <t>COMPUTER EXPENSES / DÉPENSES D'INFORMATIQUE</t>
  </si>
  <si>
    <t xml:space="preserve">Line # / Ligne # </t>
  </si>
  <si>
    <t>Budget Line name / Nom de la ligne budgétaire</t>
  </si>
  <si>
    <t>Software and Maintenance - Details / Logiciel et maintenance - Détails</t>
  </si>
  <si>
    <t>Fully managed</t>
  </si>
  <si>
    <t>Zoom</t>
  </si>
  <si>
    <t>Antidote</t>
  </si>
  <si>
    <t>Simply Voting</t>
  </si>
  <si>
    <t>TRAVEL / DÉPLACEMENTS</t>
  </si>
  <si>
    <t>LRO representational services / LRO services de représentation</t>
  </si>
  <si>
    <t>Increase for inflation (5%)</t>
  </si>
  <si>
    <t xml:space="preserve">  Conferences / Conférences</t>
  </si>
  <si>
    <t xml:space="preserve">  President travel / Frais de voyage du Président</t>
  </si>
  <si>
    <t>President Regional Council Travel / Voyage du présent : conseil régional</t>
  </si>
  <si>
    <t>Travel to locals : President / Voyage aux locales : Président</t>
  </si>
  <si>
    <t>Travel to locals : Staff &amp; NEC</t>
  </si>
  <si>
    <t xml:space="preserve">MEETINGS / DÉPENSES DE RÉUNION </t>
  </si>
  <si>
    <t xml:space="preserve">  AGM/MBM   /   AGA/AGB</t>
  </si>
  <si>
    <t xml:space="preserve">  National Executive /   Comité exécutif national</t>
  </si>
  <si>
    <t xml:space="preserve"> Sub Committees related expenses / Dépenses de sous comité</t>
  </si>
  <si>
    <t xml:space="preserve">  LLC / Presidents Council /   Dirigeants locaux</t>
  </si>
  <si>
    <t xml:space="preserve">  Salary reimbursement (constitutional comittees) / remboursement de salaire (comités constitutionnel)</t>
  </si>
  <si>
    <t xml:space="preserve">  Business Luncheons / Déjeuner d'affaires</t>
  </si>
  <si>
    <t xml:space="preserve">  Staff / personnel</t>
  </si>
  <si>
    <t xml:space="preserve">  Mobilization, Engagement, Educ. / Mobilisation, engagement et éducation</t>
  </si>
  <si>
    <t>Increase in educational events and creation of Local Liaison position</t>
  </si>
  <si>
    <t>Augmentation des événements éducatifs et création d'un poste de liaison locale</t>
  </si>
  <si>
    <t xml:space="preserve">  Candidate's Forum / Forums des candidats</t>
  </si>
  <si>
    <t xml:space="preserve">By-elections
</t>
  </si>
  <si>
    <t>Élections partielles</t>
  </si>
  <si>
    <t>13.11</t>
  </si>
  <si>
    <t>Regional councils / Conseils régionaux</t>
  </si>
  <si>
    <t>NEC Special Meetings / CNE rencontres spéciales</t>
  </si>
  <si>
    <t xml:space="preserve">Assumes 2 special meetings
</t>
  </si>
  <si>
    <t>Suppose 2 réunions spéciales</t>
  </si>
  <si>
    <t>NEC Workshop / Atelier CEN</t>
  </si>
  <si>
    <t xml:space="preserve">1 day in Ottawa
</t>
  </si>
  <si>
    <t>Un jour à Ottawa</t>
  </si>
  <si>
    <t>Staff Workshop / Atelier personnel</t>
  </si>
  <si>
    <t>COLLECTIVE BARGAINING / NÉGOCIATION COLLECTIVE</t>
  </si>
  <si>
    <t>Collective Bargaining / Négociation collective</t>
  </si>
  <si>
    <t>CANADIAN LABOUR CONGRESS / CONGRÈS DU TRAVAIL DU CANADA</t>
  </si>
  <si>
    <t>Per capita taxes / Taxes par capita</t>
  </si>
  <si>
    <t>Tri-annual Convention &amp; Meetings / Congrès et réunions trisannuels</t>
  </si>
  <si>
    <t>LOCAL REBATES / REMISES AUX SECTIONS LOCALES</t>
  </si>
  <si>
    <t>Local Rebates / Remises aux sections locales</t>
  </si>
  <si>
    <t>Nationally Managed Local Exp. / Dépenses gérées au palier national</t>
  </si>
  <si>
    <t>Move to 12.4 (new category) as per NEC motion adopted on July 31, 2020</t>
  </si>
  <si>
    <t>Passer à 12.4 (nouvelle catégorie) conformément à la motion du CEN adoptée le 31 juillet 2020</t>
  </si>
  <si>
    <t>Leaving unchanged for 2023</t>
  </si>
  <si>
    <t>CONTRIBUTIONS</t>
  </si>
  <si>
    <t>DEFENSE FUND / FOND DE DÉFENSE</t>
  </si>
  <si>
    <t>Defense fund / Fond de défense</t>
  </si>
  <si>
    <r>
      <t xml:space="preserve">Finance commitee sugested to keep </t>
    </r>
    <r>
      <rPr>
        <b/>
        <sz val="11"/>
        <color theme="1"/>
        <rFont val="Calibri"/>
        <family val="2"/>
      </rPr>
      <t xml:space="preserve">the amount the same as previous year, 0$. </t>
    </r>
  </si>
  <si>
    <r>
      <t xml:space="preserve">Le comité des finances a suggéré de </t>
    </r>
    <r>
      <rPr>
        <b/>
        <sz val="11"/>
        <color theme="1"/>
        <rFont val="Calibri"/>
        <family val="2"/>
      </rPr>
      <t>budgéter le même montant que les années précédentes, 0$</t>
    </r>
  </si>
  <si>
    <t>CONTINGENCY / FRAIS IMPRÉVUS</t>
  </si>
  <si>
    <t>Executive / Exécutif</t>
  </si>
  <si>
    <t>Administrative / Administratif</t>
  </si>
  <si>
    <t xml:space="preserve">CAPITAL  RESERVES / RÉSERVES DE CAPITAL </t>
  </si>
  <si>
    <t>Furnitures and fixtures / ameublement</t>
  </si>
  <si>
    <r>
      <t xml:space="preserve">G. Phillips suggested approximately </t>
    </r>
    <r>
      <rPr>
        <b/>
        <sz val="11"/>
        <color theme="1"/>
        <rFont val="Calibri"/>
        <family val="2"/>
      </rPr>
      <t xml:space="preserve">150,000$ for the next 10 years. </t>
    </r>
  </si>
  <si>
    <r>
      <t xml:space="preserve">G. Phillips a suggéré un montant de </t>
    </r>
    <r>
      <rPr>
        <b/>
        <sz val="11"/>
        <color theme="1"/>
        <rFont val="Calibri"/>
        <family val="2"/>
      </rPr>
      <t>150,000$ pour les 10 prochaines années.</t>
    </r>
  </si>
  <si>
    <t>Leasehold improvement / améliorations locatives</t>
  </si>
  <si>
    <t>Computer Equipment / Équipement informatique</t>
  </si>
  <si>
    <r>
      <t xml:space="preserve">G. Phillips suggested approximately </t>
    </r>
    <r>
      <rPr>
        <b/>
        <sz val="11"/>
        <color theme="1"/>
        <rFont val="Calibri"/>
        <family val="2"/>
      </rPr>
      <t xml:space="preserve">25,000$ for the next 10 years. </t>
    </r>
  </si>
  <si>
    <r>
      <t xml:space="preserve">G. Phillips a suggéré un montant de </t>
    </r>
    <r>
      <rPr>
        <b/>
        <sz val="11"/>
        <color theme="1"/>
        <rFont val="Calibri"/>
        <family val="2"/>
      </rPr>
      <t>25,000$ pour les 10 prochaines années.</t>
    </r>
  </si>
  <si>
    <t xml:space="preserve">Website and Portal / Site Web et portail </t>
  </si>
  <si>
    <t>for the next 10 years</t>
  </si>
  <si>
    <t xml:space="preserve">150000 for fixture </t>
  </si>
  <si>
    <t>25000 for computer</t>
  </si>
  <si>
    <t>AMORTIZATION FY21-22 / AMORTISSEMENT AF21-22</t>
  </si>
  <si>
    <t>2021-2022 Revised by the NEC</t>
  </si>
  <si>
    <t>AMORTIZATION / AMORTISSEMENT</t>
  </si>
  <si>
    <t>See below calculation /explanation</t>
  </si>
  <si>
    <t>Voir ci-dessous les calculs /explications</t>
  </si>
  <si>
    <t># of years / # d'années</t>
  </si>
  <si>
    <t>Explanations / Explications</t>
  </si>
  <si>
    <t>Cost, beginning of year / Coût, début de l'année</t>
  </si>
  <si>
    <t>Additions FY21-22 / Ajout AF21-22</t>
  </si>
  <si>
    <t>Disposals / Dispositions</t>
  </si>
  <si>
    <t>Cost, end of year / Coût, fin de l'année</t>
  </si>
  <si>
    <t>Acc. Amort, Beginning of year / Acc. amortissement, début de l'année</t>
  </si>
  <si>
    <t>Depreciation / Dépréciation</t>
  </si>
  <si>
    <t>Acc. Amort, End of year / Acc. Amortissement, fin de l'année</t>
  </si>
  <si>
    <t>Net book value / Valeur comptable nette</t>
  </si>
  <si>
    <t>Portal / Portail</t>
  </si>
  <si>
    <t xml:space="preserve">Member portal FY22. 
Jean suggested 30,000$ for the new members portal. /
Portail membre AF22 
J. Ouellette a suggéré un montant de 30,000$ pour le nouveau portail membre. 
</t>
  </si>
  <si>
    <t>Website / Site web</t>
  </si>
  <si>
    <t>Furniture and fixture / Ameublement</t>
  </si>
  <si>
    <t xml:space="preserve">Same amount as previous budget : 50,000$. Will account for new staff.  / Même montant que le budget précédent: 50,000$. Prends en considération les nouveaux employés qui seront embauchés. 
</t>
  </si>
  <si>
    <t>Lease duration</t>
  </si>
  <si>
    <t>8 new employees at 3K$ per employees (based on previous year computer expense amount). At least 30,000$ should be budgeted (24,000$ + buffer).  / 8 nouveaux employées pour un montant de 3K/employé (basé sur les montants de dépenses des années précédentes). Au moins 30,000$ devrait être budgété (24,000$ + coussin)</t>
  </si>
  <si>
    <t>Revised by the NEC</t>
  </si>
  <si>
    <r>
      <t xml:space="preserve">Member portal FY22. 
Jean suggested 30,000$ for the new members portal. /
Portail membre AF22 
J. Ouellette a suggéré un montant de 30,000$ pour le nouveau portail membre. 
</t>
    </r>
    <r>
      <rPr>
        <sz val="11"/>
        <color rgb="FFFF0000"/>
        <rFont val="Calibri"/>
        <family val="2"/>
        <scheme val="minor"/>
      </rPr>
      <t>Revised by the NEC: FY 2021-22 increased by $100,000.</t>
    </r>
  </si>
  <si>
    <r>
      <t xml:space="preserve">Same amount as previous budget : 50,000$. Will account for new staff.  / Même montant que le budget précédent: 50,000$. Prends en considération les nouveaux employés qui seront embauchés. 
</t>
    </r>
    <r>
      <rPr>
        <sz val="11"/>
        <color rgb="FFFF0000"/>
        <rFont val="Calibri"/>
        <family val="2"/>
        <scheme val="minor"/>
      </rPr>
      <t>Revised by the NEC: FY 2021-22 increased by $20,000.</t>
    </r>
  </si>
  <si>
    <t>AMORTIZATION FY22-23 / AMORTISSEMENT AF22-23</t>
  </si>
  <si>
    <t>Explanations / Assumptions</t>
  </si>
  <si>
    <t>Additions FY23 / Ajout AF23</t>
  </si>
  <si>
    <r>
      <t xml:space="preserve">Same amount as previous budget : 50,000$. Will account for new staff.  / Même montant que le budget précédent: 50,000$. Prends en considération les nouveaux employés qui seront embauchés.
</t>
    </r>
    <r>
      <rPr>
        <sz val="11"/>
        <color rgb="FFFF0000"/>
        <rFont val="Calibri"/>
        <family val="2"/>
        <scheme val="minor"/>
      </rPr>
      <t xml:space="preserve">
</t>
    </r>
  </si>
  <si>
    <t xml:space="preserve">Lease duration / durée du bail </t>
  </si>
  <si>
    <t>New CS Lease is 10 years with option to extend for 5 years.  Per lease, $70/sq. ft in allowances</t>
  </si>
  <si>
    <t>10 new positions at $3K per employee; Remarkable tablets for all staff</t>
  </si>
  <si>
    <t>TOTAL</t>
  </si>
  <si>
    <t>Additions FY23-24 / Ajout AF23-24</t>
  </si>
  <si>
    <t>Amortize</t>
  </si>
  <si>
    <t>Cost of Remarquable</t>
  </si>
  <si>
    <t>$449 for tablet plus subscription of $12 per month, 40 employees</t>
  </si>
  <si>
    <t>Cost of Supplies in a normal year</t>
  </si>
  <si>
    <t>LRO Contracts - Temporary Staffing</t>
  </si>
  <si>
    <t>moving costs</t>
  </si>
  <si>
    <t>furniture</t>
  </si>
  <si>
    <t>unforeseen (archive room)</t>
  </si>
  <si>
    <t>fit up</t>
  </si>
  <si>
    <t>150000/yr ten yrs</t>
  </si>
  <si>
    <t>1.5M</t>
  </si>
  <si>
    <t>Move and equip</t>
  </si>
  <si>
    <t>1.7M</t>
  </si>
  <si>
    <t>Getting $60-$70 per sq foot from landlord</t>
  </si>
  <si>
    <t>Movers</t>
  </si>
  <si>
    <t>Keep board room table</t>
  </si>
  <si>
    <t>Furniture to be trashed</t>
  </si>
  <si>
    <t>included in the 20K</t>
  </si>
  <si>
    <t>Liana has contacts</t>
  </si>
  <si>
    <t>RFP</t>
  </si>
  <si>
    <t>Julie to provide floor plan</t>
  </si>
  <si>
    <t>Sharon/Jean/Liana/Julie tenders once floor plan received</t>
  </si>
  <si>
    <t>Claude Dannick filing room clean up</t>
  </si>
  <si>
    <t>staff</t>
  </si>
  <si>
    <t>keep ergo</t>
  </si>
  <si>
    <t>movers</t>
  </si>
  <si>
    <t>lease 2023</t>
  </si>
  <si>
    <t>junk</t>
  </si>
  <si>
    <t>Communications</t>
  </si>
  <si>
    <t>Retroactive Dues - Phoenix / Cotisations rétroactives - Phoenix</t>
  </si>
  <si>
    <r>
      <t>Based on November 2022 premium which is around</t>
    </r>
    <r>
      <rPr>
        <b/>
        <sz val="11"/>
        <color theme="1"/>
        <rFont val="Calibri"/>
        <family val="2"/>
      </rPr>
      <t xml:space="preserve"> 600$ per employee per month plus a health account of 1000$ per employee per year</t>
    </r>
    <r>
      <rPr>
        <sz val="11"/>
        <color theme="1"/>
        <rFont val="Calibri"/>
        <family val="2"/>
        <scheme val="minor"/>
      </rPr>
      <t xml:space="preserve">. Accounted for new staff. See below calculation. 
Added a buffer of 50K$ for FY22-23 for additionnal claims and new staff.  
</t>
    </r>
  </si>
  <si>
    <r>
      <t>En fonction de la prime de novembre 2022 qui est d’environ 6</t>
    </r>
    <r>
      <rPr>
        <b/>
        <sz val="9"/>
        <color theme="1"/>
        <rFont val="Verdana"/>
        <family val="2"/>
      </rPr>
      <t>00 $ par employé par mois et d’un compte de santé de 1 000 $ par employé par an</t>
    </r>
    <r>
      <rPr>
        <sz val="11"/>
        <color theme="1"/>
        <rFont val="Calibri"/>
        <family val="2"/>
        <scheme val="minor"/>
      </rPr>
      <t xml:space="preserve">. Prend en compte les nouveaux employés. Voir le calcul ci-dessous. 
Ajout d’un coussin de 50 000 $ pour les demandes de règlement supplémentaires et les nouveaux employés pour l’exercice 2022-2023. </t>
    </r>
  </si>
  <si>
    <t>Transportation</t>
  </si>
  <si>
    <t>FOR DISCUSSION /                POUR DISCUSSION</t>
  </si>
  <si>
    <t>Office &amp; Administration</t>
  </si>
  <si>
    <t>Graphic Design</t>
  </si>
  <si>
    <t>Communication &amp; Public Affairs</t>
  </si>
  <si>
    <t>Legal Fees</t>
  </si>
  <si>
    <t>Amortization - F&amp;F</t>
  </si>
  <si>
    <t>Licenses/Subscriptions</t>
  </si>
  <si>
    <t xml:space="preserve">President travel </t>
  </si>
  <si>
    <t>Marketing/Advertising</t>
  </si>
  <si>
    <t>Supplies</t>
  </si>
  <si>
    <t>Rental of equipment</t>
  </si>
  <si>
    <t>Reference material</t>
  </si>
  <si>
    <t>Repairs and maintenance</t>
  </si>
  <si>
    <t>Insurance</t>
  </si>
  <si>
    <t>Bank charges</t>
  </si>
  <si>
    <t>Miscellaneous</t>
  </si>
  <si>
    <t>Relocation Expenses</t>
  </si>
  <si>
    <t>Recruitment Expenses</t>
  </si>
  <si>
    <t>2019</t>
  </si>
  <si>
    <t>Calendar Year / 
Année civile</t>
  </si>
  <si>
    <t>2020</t>
  </si>
  <si>
    <t>2021</t>
  </si>
  <si>
    <t>2022</t>
  </si>
  <si>
    <t>Actuals + Forecast</t>
  </si>
  <si>
    <t>2023</t>
  </si>
  <si>
    <t>Réels + Prévu</t>
  </si>
  <si>
    <t>2024</t>
  </si>
  <si>
    <t>Number of Members</t>
  </si>
  <si>
    <t>-Split-</t>
  </si>
  <si>
    <t>2.1 Salaries &amp; Benefits:Management</t>
  </si>
  <si>
    <t>WCB Payable</t>
  </si>
  <si>
    <t>Journal Entry</t>
  </si>
  <si>
    <t>Employee Pension Contribution payable</t>
  </si>
  <si>
    <t>Salaries and Benefits:Management Salaries</t>
  </si>
  <si>
    <t>WCB Expense</t>
  </si>
  <si>
    <t>Employee Pension Contributions</t>
  </si>
  <si>
    <t>Balance</t>
  </si>
  <si>
    <t>Amount</t>
  </si>
  <si>
    <t>Split</t>
  </si>
  <si>
    <t>Account</t>
  </si>
  <si>
    <t>Memo/Description</t>
  </si>
  <si>
    <t>Name</t>
  </si>
  <si>
    <t>#</t>
  </si>
  <si>
    <t>Transaction Type</t>
  </si>
  <si>
    <t>Date</t>
  </si>
  <si>
    <t>Transaction Report</t>
  </si>
  <si>
    <t>ACEP-CAPE</t>
  </si>
  <si>
    <t>Voir Tab 2.1 - Mgmt Salaries</t>
  </si>
  <si>
    <t>Accountant</t>
  </si>
  <si>
    <t>504 TD Visa - Mark C (xx2480)</t>
  </si>
  <si>
    <t>2.2 Salaries &amp; Benefits:Staff</t>
  </si>
  <si>
    <t>Workplace Safety &amp; Ins. Board</t>
  </si>
  <si>
    <t>Expense</t>
  </si>
  <si>
    <t>Paymentus - Service Fee</t>
  </si>
  <si>
    <t>Union dues payable</t>
  </si>
  <si>
    <t>RRSP Employee Contributions</t>
  </si>
  <si>
    <t>LWIA</t>
  </si>
  <si>
    <t>Employee Pension Contribution</t>
  </si>
  <si>
    <t>Salaries and Benefits:Employee Salaries</t>
  </si>
  <si>
    <t>400 Accounts Payable (A/P)</t>
  </si>
  <si>
    <t>CSN</t>
  </si>
  <si>
    <t>Bill</t>
  </si>
  <si>
    <t>Federation (CSN)</t>
  </si>
  <si>
    <t>Conseil Central (CSN)</t>
  </si>
  <si>
    <t>Voir Tab 2.2 - Employee Salaries</t>
  </si>
  <si>
    <t>President's Salary / Salaire du président</t>
  </si>
  <si>
    <t xml:space="preserve">Based on salary grid approved by the NEC
</t>
  </si>
  <si>
    <t>Sur la base de la grille des salaires approuvée par le CEN</t>
  </si>
  <si>
    <t xml:space="preserve">Multimedia Production </t>
  </si>
  <si>
    <t xml:space="preserve">Production multimédia </t>
  </si>
  <si>
    <t>Conception graphique</t>
  </si>
  <si>
    <r>
      <t xml:space="preserve">Dépenses relatives aux CTC. 0,81$ par membre par mois. </t>
    </r>
    <r>
      <rPr>
        <b/>
        <sz val="11"/>
        <color theme="1"/>
        <rFont val="Calibri"/>
        <family val="2"/>
      </rPr>
      <t>0,81$</t>
    </r>
    <r>
      <rPr>
        <sz val="11"/>
        <color theme="1"/>
        <rFont val="Calibri"/>
        <family val="2"/>
        <scheme val="minor"/>
      </rPr>
      <t xml:space="preserve"> par membre </t>
    </r>
  </si>
  <si>
    <t xml:space="preserve">Non-convention years $25K (2024, 2025), Convention years $100K (2026)
</t>
  </si>
  <si>
    <t>Année sans congrès $25K (2024, 2025), Année du congrès $100K (2026)</t>
  </si>
  <si>
    <t>Postage/Shipping</t>
  </si>
  <si>
    <t>Lancaster House</t>
  </si>
  <si>
    <t>Education (Members &amp; Stewards)</t>
  </si>
  <si>
    <t>Accommodations &amp; Food</t>
  </si>
  <si>
    <t>Harvard Business Review</t>
  </si>
  <si>
    <t>Hill Times</t>
  </si>
  <si>
    <t>Thompson Reuters (WestLaw, Brown &amp; Beatty)</t>
  </si>
  <si>
    <t>No equipment is currently being rented</t>
  </si>
  <si>
    <t>Rental of equipement - Details /  Location de matériel - Détails</t>
  </si>
  <si>
    <t>Reference material - Details / Matériel de référence - Détails</t>
  </si>
  <si>
    <r>
      <t xml:space="preserve">Small repairs and maintenances are not anticipated to cost more than </t>
    </r>
    <r>
      <rPr>
        <b/>
        <sz val="11"/>
        <color theme="1"/>
        <rFont val="Calibri"/>
        <family val="2"/>
      </rPr>
      <t>$2K per fiscal year.</t>
    </r>
    <r>
      <rPr>
        <sz val="11"/>
        <color theme="1"/>
        <rFont val="Calibri"/>
        <family val="2"/>
        <scheme val="minor"/>
      </rPr>
      <t xml:space="preserve"> 
</t>
    </r>
  </si>
  <si>
    <r>
      <t>Les réparations et entretiens mineurs ne devraient pas être plus de</t>
    </r>
    <r>
      <rPr>
        <b/>
        <sz val="11"/>
        <color theme="1"/>
        <rFont val="Calibri"/>
        <family val="2"/>
      </rPr>
      <t xml:space="preserve"> 2,000 $ par année</t>
    </r>
  </si>
  <si>
    <t>Insurance premiums total $56K per year; assume 10% increase in premiums plus buffer</t>
  </si>
  <si>
    <t>Operating</t>
  </si>
  <si>
    <t xml:space="preserve">Rent </t>
  </si>
  <si>
    <t>Cotisations</t>
  </si>
  <si>
    <t>Salary reimbursement - subcommittees</t>
  </si>
  <si>
    <t>Assume return on investment of 3% based on bond returns and average growth</t>
  </si>
  <si>
    <t>Minor capital Purchases (&lt;$1,000)</t>
  </si>
  <si>
    <t>PassKit</t>
  </si>
  <si>
    <t>Wufoo</t>
  </si>
  <si>
    <t>Apple Developer</t>
  </si>
  <si>
    <t>Survey Monkey</t>
  </si>
  <si>
    <t>MemoQ</t>
  </si>
  <si>
    <t>Amortization - Intangibles &amp; Computer Equipment</t>
  </si>
  <si>
    <t>Prélèvement spécial</t>
  </si>
  <si>
    <t>Pensions</t>
  </si>
  <si>
    <t>Avantages sociaux</t>
  </si>
  <si>
    <t>Traduction</t>
  </si>
  <si>
    <t>Téléphone</t>
  </si>
  <si>
    <t>Location de matériel</t>
  </si>
  <si>
    <t>Réparations et entretien</t>
  </si>
  <si>
    <t>Assurances</t>
  </si>
  <si>
    <t>Frais bancaires</t>
  </si>
  <si>
    <t>Divers</t>
  </si>
  <si>
    <t>Frais de recrutement</t>
  </si>
  <si>
    <t>Amortization - Leasehold Improvements</t>
  </si>
  <si>
    <t>Web site</t>
  </si>
  <si>
    <t>Site Web</t>
  </si>
  <si>
    <t>National Executive</t>
  </si>
  <si>
    <t>Committees</t>
  </si>
  <si>
    <t>LLC / Presidents Council</t>
  </si>
  <si>
    <t>Staff Meetings</t>
  </si>
  <si>
    <t>Candidate's Forum</t>
  </si>
  <si>
    <t>Regional councils</t>
  </si>
  <si>
    <t>NEC Special Meetings</t>
  </si>
  <si>
    <t>Nationally Managed Local Exp.</t>
  </si>
  <si>
    <t>For Reference / Pour référence</t>
  </si>
  <si>
    <t>Capital Asset Purchases</t>
  </si>
  <si>
    <t>â</t>
  </si>
  <si>
    <t>á</t>
  </si>
  <si>
    <t>Supposons un retour sur investissement de 3 % basé sur les rendements obligataires et la croissance moyenne.</t>
  </si>
  <si>
    <t>Formation linguistique</t>
  </si>
  <si>
    <t>11.1</t>
  </si>
  <si>
    <t>11.2</t>
  </si>
  <si>
    <t>11.3</t>
  </si>
  <si>
    <t>12.1</t>
  </si>
  <si>
    <t>12.2</t>
  </si>
  <si>
    <t>12.3</t>
  </si>
  <si>
    <t>Revenus</t>
  </si>
  <si>
    <t>Cotisations rétroactives – Phénix</t>
  </si>
  <si>
    <t>Intérêts (Placements)</t>
  </si>
  <si>
    <t xml:space="preserve">Recouvrement des dépenses sans pièces justificatives </t>
  </si>
  <si>
    <t xml:space="preserve">Congés compensatoires/Congés annuels  </t>
  </si>
  <si>
    <t>Indemnités de départ – Personnel</t>
  </si>
  <si>
    <t>Indemnités de départ – Direction</t>
  </si>
  <si>
    <t>Communications et Affaires publiques</t>
  </si>
  <si>
    <t>Marketing et publicité</t>
  </si>
  <si>
    <t xml:space="preserve">Matériel promotionnel </t>
  </si>
  <si>
    <t>Formation externe – Membres et délégué(e)s</t>
  </si>
  <si>
    <t>Hébergement et repas</t>
  </si>
  <si>
    <t>Remboursements de salaire</t>
  </si>
  <si>
    <t>Formation et perfectionnement professionnel</t>
  </si>
  <si>
    <t>Formation et perfectionnement professionnel – Personnel</t>
  </si>
  <si>
    <t>Formation et perfectionnement professionnel – Direction</t>
  </si>
  <si>
    <t>Formation et perfectionnement professionnel – Président(e)</t>
  </si>
  <si>
    <t>Formation – Agent(e)s des relations de travail</t>
  </si>
  <si>
    <t>Frais juridiques</t>
  </si>
  <si>
    <t>Frais juridiques – Représentation des membres</t>
  </si>
  <si>
    <t>Frais juridiques – Règlement 5, Statuts</t>
  </si>
  <si>
    <t xml:space="preserve">Frais juridiques – Interne </t>
  </si>
  <si>
    <t>Frais juridiques – Fonds de prévoyance</t>
  </si>
  <si>
    <t>Honoraires</t>
  </si>
  <si>
    <t>Frais de gestion des placements (fonds liquides et régime de retraite)</t>
  </si>
  <si>
    <t>Honoraires d’experts-conseils</t>
  </si>
  <si>
    <t>Honoraires de vérification comptable</t>
  </si>
  <si>
    <t>Frais administratifs</t>
  </si>
  <si>
    <t>Impression externe</t>
  </si>
  <si>
    <t>Affranchissement et expédition</t>
  </si>
  <si>
    <t>Fournitures de bureau</t>
  </si>
  <si>
    <t>Ouvrages de référence</t>
  </si>
  <si>
    <t>Frais de réinstallation</t>
  </si>
  <si>
    <t>Achats d’immobilisations</t>
  </si>
  <si>
    <t>Mobilier de bureau</t>
  </si>
  <si>
    <t>Amortissement – Mobilier et agencements</t>
  </si>
  <si>
    <t>Loyers et frais d’exploitation</t>
  </si>
  <si>
    <t xml:space="preserve">Loyers </t>
  </si>
  <si>
    <t>Frais d’exploitation</t>
  </si>
  <si>
    <t>Amortissement – Améliorations locatives</t>
  </si>
  <si>
    <t>Dépenses en technologies de l’information</t>
  </si>
  <si>
    <t>Licences et abonnements</t>
  </si>
  <si>
    <t>Amortissement – Immobilisations incorporelles et matériel informatique</t>
  </si>
  <si>
    <t>Achats d’immobilisations de valeur réduite (&lt; 1 000 $)</t>
  </si>
  <si>
    <t>ART – Services de représentation</t>
  </si>
  <si>
    <t xml:space="preserve">Déplacements – Président(e) </t>
  </si>
  <si>
    <t xml:space="preserve">Déplacements pour se rendre aux conseils régionaux – Président(e) </t>
  </si>
  <si>
    <t xml:space="preserve">Déplacements pour se rendre aux sections locales – Président(e) </t>
  </si>
  <si>
    <t>Déplacements pour se rendre aux sections locales – Personnel et CEN</t>
  </si>
  <si>
    <t>Réunions et assemblées</t>
  </si>
  <si>
    <t>AGA/Assemblée générale concernant le budget</t>
  </si>
  <si>
    <t>Conseil des dirigeant(e)s des sections locales / Conseil des président(e)s</t>
  </si>
  <si>
    <t>Transport public</t>
  </si>
  <si>
    <t>Remboursements de salaire – Sous-comités</t>
  </si>
  <si>
    <t>Réunions du personnel</t>
  </si>
  <si>
    <t>Forum des candidat(e)s</t>
  </si>
  <si>
    <t>Réunions extraordinaires du CEN</t>
  </si>
  <si>
    <t>Ateliers – CEN</t>
  </si>
  <si>
    <t>Ateliers – Personnel</t>
  </si>
  <si>
    <t>Négociation collective</t>
  </si>
  <si>
    <t>CTC</t>
  </si>
  <si>
    <t>Capitation versée au CTC</t>
  </si>
  <si>
    <t>Dépenses de sections locales gérées par le bureau national</t>
  </si>
  <si>
    <t>Dons</t>
  </si>
  <si>
    <t>Dépenses imprévues</t>
  </si>
  <si>
    <t>Exécutif</t>
  </si>
  <si>
    <t>Excédent (déficit) opérationnel</t>
  </si>
  <si>
    <t>Excédent (déficit) en fin de période</t>
  </si>
  <si>
    <t>Surplus (deficit) operational</t>
  </si>
  <si>
    <t>NEC Workshops</t>
  </si>
  <si>
    <t>Staff Workshops</t>
  </si>
  <si>
    <t>LRO Mobilisation</t>
  </si>
  <si>
    <t>Mobilisation - ART</t>
  </si>
  <si>
    <t>CLC Convention/Committees</t>
  </si>
  <si>
    <t>Congrès/comités du CTC</t>
  </si>
  <si>
    <t xml:space="preserve">Pay Equity </t>
  </si>
  <si>
    <t>L'équité salariale</t>
  </si>
  <si>
    <t>CAPE Budget 2025 &amp; 2026</t>
  </si>
  <si>
    <t>Budget de l'ACEP 2025 et 2026</t>
  </si>
  <si>
    <t>Use the average of the past year to be conservative, as the impact of WFA is unknown</t>
  </si>
  <si>
    <t>See calculation of total members below; decrease by 1K in 2026 to account for WFA</t>
  </si>
  <si>
    <t>Total Assets at Cumberland</t>
  </si>
  <si>
    <t>Assume 3% rate of return</t>
  </si>
  <si>
    <t>Allocated funds for Participatory Budget</t>
  </si>
  <si>
    <t>CLC related expenses. 0,81$ per member per month (round up to provide buffer)</t>
  </si>
  <si>
    <t>HST</t>
  </si>
  <si>
    <t>2024 Monthly Operating Costs</t>
  </si>
  <si>
    <t>2024 plus adjustment for inflation and rounded up for buffer</t>
  </si>
  <si>
    <t>$23/sq. foot x 17891 sq. feet plus HST 13% per rent statement below</t>
  </si>
  <si>
    <t xml:space="preserve">This GL contains mostly social events: Christmas lunch party, gifts, parkings, social comittee activities. Social committee budget is $10K
</t>
  </si>
  <si>
    <t xml:space="preserve">Ce GL contient principalement des événements sociaux : repas de Noël, cadeaux, parkings, activités de comités sociaux. Le budget du comité social est 10 000$
</t>
  </si>
  <si>
    <t>iPolitics</t>
  </si>
  <si>
    <t>Terminotix</t>
  </si>
  <si>
    <t>AGM/MBM</t>
  </si>
  <si>
    <t>Delegated Convention</t>
  </si>
  <si>
    <t>Budget demandé 2025</t>
  </si>
  <si>
    <t>Item</t>
  </si>
  <si>
    <r>
      <t xml:space="preserve">Coût estimé </t>
    </r>
    <r>
      <rPr>
        <sz val="11"/>
        <color theme="1"/>
        <rFont val="Calibri"/>
        <family val="2"/>
        <scheme val="minor"/>
      </rPr>
      <t>(voir détails ci-dessous)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</si>
  <si>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Formations des déléguées et délégués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</si>
  <si>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Deux en région</t>
    </r>
  </si>
  <si>
    <t>78 574 $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</si>
  <si>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Quatre aux bureau national (RCN)</t>
    </r>
  </si>
  <si>
    <t>164 020 $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</si>
  <si>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Formation des exécutifs de sections locales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</si>
  <si>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Une en région</t>
    </r>
  </si>
  <si>
    <t>39 287 $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</si>
  <si>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Deux au bureau national (RCN)</t>
    </r>
  </si>
  <si>
    <t>82 010 $</t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</si>
  <si>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Deux autres formations de deux jours (RCN)</t>
    </r>
  </si>
  <si>
    <t>Estimation des coûts de l’organisation d’événements:</t>
  </si>
  <si>
    <t>Lieux : RCN</t>
  </si>
  <si>
    <t>Participants : 20 (10 de la RCN, 10 des régions)</t>
  </si>
  <si>
    <t>Coût</t>
  </si>
  <si>
    <t>Qté</t>
  </si>
  <si>
    <t>Total estimé</t>
  </si>
  <si>
    <t>Remboursement du salaire</t>
  </si>
  <si>
    <t>350 $ pj/pp</t>
  </si>
  <si>
    <t>2 jours (RCN)</t>
  </si>
  <si>
    <t>3 jours (ext)</t>
  </si>
  <si>
    <t>Hébergement</t>
  </si>
  <si>
    <t>3 nuits</t>
  </si>
  <si>
    <t>Déplacement</t>
  </si>
  <si>
    <t>1000 $ pp</t>
  </si>
  <si>
    <t>Nourriture</t>
  </si>
  <si>
    <t>1 500 $ par jour</t>
  </si>
  <si>
    <t>2 jours</t>
  </si>
  <si>
    <t>Repas</t>
  </si>
  <si>
    <t>61.85 $ pp x1 (RCN)</t>
  </si>
  <si>
    <t>104.35 $ pj/pp (ext)</t>
  </si>
  <si>
    <t>1 souper de groupe x 10</t>
  </si>
  <si>
    <t>2.5 jours x 10</t>
  </si>
  <si>
    <t>Salle</t>
  </si>
  <si>
    <t>N/A</t>
  </si>
  <si>
    <t>Lieux : En région</t>
  </si>
  <si>
    <t>Participants : 15 (5 de la ville ciblée, 10 des environs)</t>
  </si>
  <si>
    <t>2 animatrices/animateurs en déplacement</t>
  </si>
  <si>
    <t>3 nuits x 12 personnes</t>
  </si>
  <si>
    <t>800 $ pp</t>
  </si>
  <si>
    <t>12 personnes</t>
  </si>
  <si>
    <t>79.15 $ pp x2</t>
  </si>
  <si>
    <t>1 200 $ pj</t>
  </si>
  <si>
    <t>Budget proposé 2026</t>
  </si>
  <si>
    <t>EIGHT</t>
  </si>
  <si>
    <t>THREE</t>
  </si>
  <si>
    <t xml:space="preserve">Per calculations below; adjust 2026 for annual increase in salary
</t>
  </si>
  <si>
    <t>Action Builder</t>
  </si>
  <si>
    <t>ADP Canada Co.</t>
  </si>
  <si>
    <t>Canadian Labour Congress</t>
  </si>
  <si>
    <t>Canva</t>
  </si>
  <si>
    <t>DeepL</t>
  </si>
  <si>
    <t>DocuSign Inc</t>
  </si>
  <si>
    <t>Fully Managed</t>
  </si>
  <si>
    <t>Krisp Technologies Inc.</t>
  </si>
  <si>
    <t>mailchimp</t>
  </si>
  <si>
    <t>Otter.ai</t>
  </si>
  <si>
    <t>PowerObjects</t>
  </si>
  <si>
    <t>QuickBooks</t>
  </si>
  <si>
    <t>reMarkable</t>
  </si>
  <si>
    <t>WP Engine Inc.</t>
  </si>
  <si>
    <t>Adobe Acrobat Pro</t>
  </si>
  <si>
    <t>MS 365 Business Standard</t>
  </si>
  <si>
    <t>Salaries - Excluded Staff</t>
  </si>
  <si>
    <t>Salaries - Unionized Staff</t>
  </si>
  <si>
    <t>Salaires – Personnel exclus</t>
  </si>
  <si>
    <t>Salaires – Personnel syndiqués</t>
  </si>
  <si>
    <t>2026 Salaries for Unionized Staff</t>
  </si>
  <si>
    <t>New ESU Collective Agreement - assume 2% increase</t>
  </si>
  <si>
    <t>2025 Salaries for Unionized Staff</t>
  </si>
  <si>
    <t>Internship Program - 1 position (Level 1)</t>
  </si>
  <si>
    <t>Research Assistant (Level 4)</t>
  </si>
  <si>
    <t>New Positions Requested for 2025:</t>
  </si>
  <si>
    <t>2024 Salaries for Unionized Staff</t>
  </si>
  <si>
    <t>New ESU Collective Agreement (expired 4/30) - assume 3% increase</t>
  </si>
  <si>
    <t>Total 2024 Salary Expense</t>
  </si>
  <si>
    <t>Remaining Salary Expense for 2024</t>
  </si>
  <si>
    <t>2024 Salaries for Unionized Staff per pay period before salary increase per expired C.A.</t>
  </si>
  <si>
    <t>Translator - Coordinator (Level 4)</t>
  </si>
  <si>
    <t>Communications Advisor - Digital Engagement (Level 2)</t>
  </si>
  <si>
    <t>Lead Organizer (Level 6)</t>
  </si>
  <si>
    <t>Add positions staffed/approved for 2024, but not yet on payroll:</t>
  </si>
  <si>
    <t>Unionized Staff Salaries for PPE July 27, 2024</t>
  </si>
  <si>
    <t>Salaries &amp; Benefits: Unionized Staff as of July 27, 2024</t>
  </si>
  <si>
    <t>Sunday, Aug. 18, 2024 08:33:57 a.m. GMT-7 - Accrual Basis</t>
  </si>
  <si>
    <t>TS348</t>
  </si>
  <si>
    <t>25/07/2024</t>
  </si>
  <si>
    <t>Staff Pension Contributions</t>
  </si>
  <si>
    <t>Staff Pension Contribution</t>
  </si>
  <si>
    <t>Salaries and Benefits:Staff Salaries</t>
  </si>
  <si>
    <t>RRSP Staff Contributions</t>
  </si>
  <si>
    <t>Leave With Income Averaging</t>
  </si>
  <si>
    <t>TS346</t>
  </si>
  <si>
    <t>11/07/2024</t>
  </si>
  <si>
    <t>Service Fee - June 2024 WSIB Premium</t>
  </si>
  <si>
    <t>03/07/2024</t>
  </si>
  <si>
    <t>June 2024 WSIB Premium</t>
  </si>
  <si>
    <t>TS332</t>
  </si>
  <si>
    <t>27/06/2024</t>
  </si>
  <si>
    <t>TS330</t>
  </si>
  <si>
    <t>13/06/2024</t>
  </si>
  <si>
    <t>Service Fee - May 2024 - Premium (3 Pays in May 2024)</t>
  </si>
  <si>
    <t>30/05/2024</t>
  </si>
  <si>
    <t>May 2024 - Premium (3 Pays in May 2024)</t>
  </si>
  <si>
    <t>TS312</t>
  </si>
  <si>
    <t>TS311</t>
  </si>
  <si>
    <t>16/05/2024</t>
  </si>
  <si>
    <t>TS300</t>
  </si>
  <si>
    <t>30/04/2024</t>
  </si>
  <si>
    <t>Premiums Details - April 2024</t>
  </si>
  <si>
    <t>Service Fee for WSIB - April 2024 Premiums</t>
  </si>
  <si>
    <t>100 Canada Trust - Chequing</t>
  </si>
  <si>
    <t>Ministry of Finance - EFT Notice of Re-Assessment for 2021</t>
  </si>
  <si>
    <t>Minister of Finance</t>
  </si>
  <si>
    <t>19/04/2024</t>
  </si>
  <si>
    <t>ESDC - EI Overpayment of Benefits for Sharon Wilson</t>
  </si>
  <si>
    <t>18/04/2024</t>
  </si>
  <si>
    <t>TS275</t>
  </si>
  <si>
    <t>March 2024 - Service Fee ($5.08)</t>
  </si>
  <si>
    <t>04/04/2024</t>
  </si>
  <si>
    <t>TS260</t>
  </si>
  <si>
    <t>March 2024 - Credit on File ($2,847.94)  - Balance ($225.57)</t>
  </si>
  <si>
    <t>ESU Due for Mar 2024</t>
  </si>
  <si>
    <t>Mar 2024</t>
  </si>
  <si>
    <t>31/03/2024</t>
  </si>
  <si>
    <t>TS251</t>
  </si>
  <si>
    <t>21/03/2024</t>
  </si>
  <si>
    <t>February 2024 Premium</t>
  </si>
  <si>
    <t>13/03/2024</t>
  </si>
  <si>
    <t>Service Fee for February 2024 Premium</t>
  </si>
  <si>
    <t>Employer Health Tax Owing for 2019 &amp; 2023</t>
  </si>
  <si>
    <t>TS236</t>
  </si>
  <si>
    <t>07/03/2024</t>
  </si>
  <si>
    <t>ESU Due for Feb 2024</t>
  </si>
  <si>
    <t>Feb 2024</t>
  </si>
  <si>
    <t>29/02/2024</t>
  </si>
  <si>
    <t>TS220</t>
  </si>
  <si>
    <t>22/02/2024</t>
  </si>
  <si>
    <t>TS218</t>
  </si>
  <si>
    <t>08/02/2024</t>
  </si>
  <si>
    <t>ESU Due for Dec 2023</t>
  </si>
  <si>
    <t>Dec 2023</t>
  </si>
  <si>
    <t>31/01/2024</t>
  </si>
  <si>
    <t>ESU Due for Jan 2024</t>
  </si>
  <si>
    <t>Jan 2024</t>
  </si>
  <si>
    <t>January 2024 Premium</t>
  </si>
  <si>
    <t>TS193</t>
  </si>
  <si>
    <t>25/01/2024</t>
  </si>
  <si>
    <t>TS176</t>
  </si>
  <si>
    <t>11/01/2024</t>
  </si>
  <si>
    <t>December 2023 Premium</t>
  </si>
  <si>
    <t>10/01/2024</t>
  </si>
  <si>
    <t>January 1 - August 18, 2024</t>
  </si>
  <si>
    <t>See Tab 2.2 - Unionized Salaries</t>
  </si>
  <si>
    <t>2026 Salaries for Excluded Staff</t>
  </si>
  <si>
    <t>2025 Salaries for Excluded Staff</t>
  </si>
  <si>
    <t>Paralegal (Level 3)</t>
  </si>
  <si>
    <t>2024 Salaries for Excluded Staff</t>
  </si>
  <si>
    <t>2024 Salaries for Excluded Staff before salary increase per expired C.A.</t>
  </si>
  <si>
    <t>Executive Director (Level 9)</t>
  </si>
  <si>
    <t>Admin Assistant, President's Office (Level 3) - 1 year contract</t>
  </si>
  <si>
    <t>Admin Assistant - Legal/Finance (Level 3)</t>
  </si>
  <si>
    <t>Excluded Staff Salaries for PPE July 27, 2024</t>
  </si>
  <si>
    <t>Salaries &amp; Benefits: Excluded Staff as of July 27, 2024</t>
  </si>
  <si>
    <t>Sunday, Aug. 18, 2024 09:29:48 a.m. GMT-7</t>
  </si>
  <si>
    <t>Management Pension Contribution</t>
  </si>
  <si>
    <t>VP Work Apr 5 &amp; 19, 2024</t>
  </si>
  <si>
    <t>014-25623 - ESDC</t>
  </si>
  <si>
    <t>#UL-076</t>
  </si>
  <si>
    <t>24/07/2024</t>
  </si>
  <si>
    <t>Interim President Nov-Dec 2023</t>
  </si>
  <si>
    <t>023-25633 - Atlantic Can Op</t>
  </si>
  <si>
    <t>March 25, 2024</t>
  </si>
  <si>
    <t>25/03/2024</t>
  </si>
  <si>
    <t>Jonathan Brulotte (interim VP at CAPE)</t>
  </si>
  <si>
    <t>UL-061</t>
  </si>
  <si>
    <t>06/03/2024</t>
  </si>
  <si>
    <t>TS250</t>
  </si>
  <si>
    <t>TS249</t>
  </si>
  <si>
    <t>See Tab 2.1 - Excluded Staff Salaries</t>
  </si>
  <si>
    <r>
      <rPr>
        <b/>
        <sz val="11"/>
        <color theme="1"/>
        <rFont val="Calibri"/>
        <family val="2"/>
      </rPr>
      <t xml:space="preserve">14.5% of 2.1 and 2.2 </t>
    </r>
    <r>
      <rPr>
        <sz val="11"/>
        <color theme="1"/>
        <rFont val="Calibri"/>
        <family val="2"/>
        <scheme val="minor"/>
      </rPr>
      <t xml:space="preserve">plus </t>
    </r>
    <r>
      <rPr>
        <b/>
        <sz val="11"/>
        <color theme="1"/>
        <rFont val="Calibri"/>
        <family val="2"/>
        <scheme val="minor"/>
      </rPr>
      <t>$50K of buffer</t>
    </r>
    <r>
      <rPr>
        <sz val="11"/>
        <color theme="1"/>
        <rFont val="Calibri"/>
        <family val="2"/>
        <scheme val="minor"/>
      </rPr>
      <t xml:space="preserve"> for additional fees/costs (MS, payments out, etc.). This line item calculation is directly related to line item 2.1 and 2.2. 
</t>
    </r>
  </si>
  <si>
    <t>Based on premium statement of July 31st, 2024 : / Basé sur le relevé des primes aux 31 juillet 2024</t>
  </si>
  <si>
    <t>Total benefits 2025/ Total des avantages sociaux 2025</t>
  </si>
  <si>
    <t>2025 Headcount</t>
  </si>
  <si>
    <t>Number of employees for 2026 / Nombre d'employés pour 2026</t>
  </si>
  <si>
    <t>Total benefits 2026 / Total avantages sociaux 2026</t>
  </si>
  <si>
    <r>
      <rPr>
        <b/>
        <sz val="11"/>
        <color theme="1"/>
        <rFont val="Calibri"/>
        <family val="2"/>
      </rPr>
      <t>4% should be used</t>
    </r>
    <r>
      <rPr>
        <sz val="11"/>
        <color theme="1"/>
        <rFont val="Calibri"/>
        <family val="2"/>
        <scheme val="minor"/>
      </rPr>
      <t xml:space="preserve"> based on previous year %. See estimations below. 
</t>
    </r>
  </si>
  <si>
    <r>
      <rPr>
        <b/>
        <sz val="9"/>
        <color theme="1"/>
        <rFont val="Verdana"/>
        <family val="2"/>
      </rPr>
      <t xml:space="preserve">Il faudrait utiliser un pourcentage de 4 % </t>
    </r>
    <r>
      <rPr>
        <sz val="11"/>
        <color theme="1"/>
        <rFont val="Calibri"/>
        <family val="2"/>
        <scheme val="minor"/>
      </rPr>
      <t xml:space="preserve">en fonction du pourcentage des exercices précédents. Voir les estimations ci-dessous. 
</t>
    </r>
  </si>
  <si>
    <t>2025 vs 2024</t>
  </si>
  <si>
    <t>*</t>
  </si>
  <si>
    <t>Convention déléguée</t>
  </si>
  <si>
    <t>Percentage increase (decrease) 2025 vs 2024</t>
  </si>
  <si>
    <t>Amazon Prime</t>
  </si>
  <si>
    <t>Multiple Subscriptions through Fully Managed</t>
  </si>
  <si>
    <t>Records &amp; Information Management - Administrator (Level 3)</t>
  </si>
  <si>
    <t xml:space="preserve">Per calculations below - for empowered stewards model training only
</t>
  </si>
  <si>
    <t>Organizing</t>
  </si>
  <si>
    <t>President Salary</t>
  </si>
  <si>
    <r>
      <t>Line #/N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 xml:space="preserve"> de poste budgétaire</t>
    </r>
  </si>
  <si>
    <t>Draft / Brouillon</t>
  </si>
  <si>
    <t>Salaire – Président</t>
  </si>
  <si>
    <t>Réunions intersyndicales</t>
  </si>
  <si>
    <t>Inter-Union Meetings</t>
  </si>
  <si>
    <t>Mobilisation</t>
  </si>
  <si>
    <t>Fonds alloués au budget participatif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</si>
</sst>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&quot;$&quot;#,##0;[Red]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#,##0\ &quot;$&quot;_);[Red]\(#,##0\ &quot;$&quot;\)"/>
    <numFmt numFmtId="168" formatCode="_ * #,##0.00_)\ &quot;$&quot;_ ;_ * \(#,##0.00\)\ &quot;$&quot;_ ;_ * &quot;-&quot;??_)\ &quot;$&quot;_ ;_ @_ "/>
    <numFmt numFmtId="169" formatCode="#,##0.0"/>
    <numFmt numFmtId="170" formatCode="0.0"/>
    <numFmt numFmtId="171" formatCode="_-* #,##0_-;\-* #,##0_-;_-* &quot;-&quot;??_-;_-@_-"/>
    <numFmt numFmtId="172" formatCode="_ * #,##0_)\ &quot;$&quot;_ ;_ * \(#,##0\)\ &quot;$&quot;_ ;_ * &quot;-&quot;??_)\ &quot;$&quot;_ ;_ @_ "/>
    <numFmt numFmtId="173" formatCode="&quot;$&quot;#,##0.00"/>
    <numFmt numFmtId="174" formatCode="0_);\(0\)"/>
    <numFmt numFmtId="175" formatCode="&quot;$&quot;#,##0"/>
    <numFmt numFmtId="176" formatCode="[$-F800]dddd\,\ mmmm\ dd\,\ yyyy"/>
    <numFmt numFmtId="177" formatCode="#,##0.00\ _€"/>
    <numFmt numFmtId="178" formatCode="&quot;$&quot;* #,##0.00\ _€"/>
    <numFmt numFmtId="179" formatCode="_(* #,##0.00000_);_(* \(#,##0.00000\);_(* &quot;-&quot;??_);_(@_)"/>
  </numFmts>
  <fonts count="4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1"/>
      <color rgb="FF00B050"/>
      <name val="Calibri"/>
      <family val="2"/>
      <scheme val="minor"/>
    </font>
    <font>
      <b/>
      <sz val="9"/>
      <color theme="1"/>
      <name val="Verdana"/>
      <family val="2"/>
    </font>
    <font>
      <b/>
      <sz val="11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00B0F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7"/>
      <color theme="1"/>
      <name val="Times New Roman"/>
      <family val="1"/>
    </font>
    <font>
      <sz val="11"/>
      <color theme="1"/>
      <name val="Symbol"/>
      <family val="1"/>
      <charset val="2"/>
    </font>
    <font>
      <i/>
      <sz val="11"/>
      <color indexed="8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FF0000"/>
      <name val="Wingdings"/>
      <charset val="2"/>
    </font>
    <font>
      <b/>
      <sz val="9"/>
      <color theme="1"/>
      <name val="Arial"/>
      <family val="2"/>
    </font>
    <font>
      <sz val="9"/>
      <color rgb="FF00B050"/>
      <name val="Wingdings"/>
      <charset val="2"/>
    </font>
    <font>
      <b/>
      <vertAlign val="superscript"/>
      <sz val="9"/>
      <name val="Arial"/>
      <family val="2"/>
    </font>
    <font>
      <b/>
      <i/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000000"/>
      <name val="Arial"/>
      <family val="2"/>
    </font>
    <font>
      <sz val="9"/>
      <color rgb="FF222222"/>
      <name val="Arial"/>
      <family val="2"/>
    </font>
    <font>
      <b/>
      <sz val="9"/>
      <color rgb="FF6D0000"/>
      <name val="Arial"/>
      <family val="2"/>
    </font>
    <font>
      <i/>
      <sz val="9"/>
      <color rgb="FF980000"/>
      <name val="Arial"/>
      <family val="2"/>
    </font>
    <font>
      <sz val="9"/>
      <color rgb="FFA2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</cellStyleXfs>
  <cellXfs count="474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3" fillId="0" borderId="0" xfId="0" applyFont="1"/>
    <xf numFmtId="0" fontId="4" fillId="0" borderId="0" xfId="0" applyFont="1"/>
    <xf numFmtId="172" fontId="0" fillId="0" borderId="0" xfId="2" applyNumberFormat="1" applyFont="1"/>
    <xf numFmtId="0" fontId="3" fillId="0" borderId="0" xfId="0" applyFont="1" applyAlignment="1">
      <alignment horizontal="center"/>
    </xf>
    <xf numFmtId="172" fontId="0" fillId="0" borderId="0" xfId="2" applyNumberFormat="1" applyFont="1" applyFill="1"/>
    <xf numFmtId="172" fontId="0" fillId="0" borderId="0" xfId="2" applyNumberFormat="1" applyFont="1" applyFill="1" applyAlignment="1"/>
    <xf numFmtId="0" fontId="0" fillId="0" borderId="12" xfId="0" applyBorder="1"/>
    <xf numFmtId="0" fontId="3" fillId="0" borderId="0" xfId="0" applyFont="1" applyAlignment="1">
      <alignment wrapText="1"/>
    </xf>
    <xf numFmtId="0" fontId="0" fillId="0" borderId="12" xfId="0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171" fontId="0" fillId="0" borderId="0" xfId="1" applyNumberFormat="1" applyFont="1" applyFill="1"/>
    <xf numFmtId="172" fontId="3" fillId="0" borderId="0" xfId="2" applyNumberFormat="1" applyFont="1" applyFill="1"/>
    <xf numFmtId="0" fontId="3" fillId="0" borderId="12" xfId="0" applyFont="1" applyBorder="1"/>
    <xf numFmtId="172" fontId="0" fillId="0" borderId="12" xfId="2" applyNumberFormat="1" applyFont="1" applyBorder="1"/>
    <xf numFmtId="0" fontId="3" fillId="6" borderId="12" xfId="0" applyFont="1" applyFill="1" applyBorder="1" applyAlignment="1">
      <alignment horizontal="center"/>
    </xf>
    <xf numFmtId="172" fontId="2" fillId="0" borderId="12" xfId="2" applyNumberFormat="1" applyFont="1" applyBorder="1" applyAlignment="1">
      <alignment horizontal="center"/>
    </xf>
    <xf numFmtId="172" fontId="2" fillId="0" borderId="12" xfId="2" applyNumberFormat="1" applyFont="1" applyFill="1" applyBorder="1" applyAlignment="1">
      <alignment horizontal="center"/>
    </xf>
    <xf numFmtId="172" fontId="0" fillId="0" borderId="0" xfId="0" applyNumberFormat="1"/>
    <xf numFmtId="0" fontId="0" fillId="3" borderId="0" xfId="0" applyFill="1"/>
    <xf numFmtId="0" fontId="3" fillId="3" borderId="0" xfId="0" applyFont="1" applyFill="1"/>
    <xf numFmtId="10" fontId="0" fillId="0" borderId="0" xfId="0" applyNumberFormat="1"/>
    <xf numFmtId="172" fontId="0" fillId="0" borderId="0" xfId="0" applyNumberFormat="1" applyAlignment="1">
      <alignment horizontal="center"/>
    </xf>
    <xf numFmtId="172" fontId="0" fillId="0" borderId="12" xfId="0" applyNumberFormat="1" applyBorder="1"/>
    <xf numFmtId="172" fontId="0" fillId="0" borderId="12" xfId="0" applyNumberFormat="1" applyBorder="1" applyAlignment="1">
      <alignment wrapText="1"/>
    </xf>
    <xf numFmtId="172" fontId="0" fillId="0" borderId="12" xfId="2" applyNumberFormat="1" applyFont="1" applyBorder="1" applyAlignment="1"/>
    <xf numFmtId="172" fontId="0" fillId="0" borderId="12" xfId="2" applyNumberFormat="1" applyFont="1" applyFill="1" applyBorder="1"/>
    <xf numFmtId="172" fontId="0" fillId="0" borderId="12" xfId="2" applyNumberFormat="1" applyFont="1" applyFill="1" applyBorder="1" applyAlignment="1"/>
    <xf numFmtId="0" fontId="8" fillId="0" borderId="12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0" fillId="7" borderId="0" xfId="0" applyFill="1"/>
    <xf numFmtId="0" fontId="3" fillId="7" borderId="0" xfId="0" applyFont="1" applyFill="1"/>
    <xf numFmtId="9" fontId="0" fillId="0" borderId="0" xfId="0" applyNumberFormat="1"/>
    <xf numFmtId="0" fontId="3" fillId="0" borderId="12" xfId="0" applyFont="1" applyBorder="1" applyAlignment="1">
      <alignment horizontal="right"/>
    </xf>
    <xf numFmtId="172" fontId="0" fillId="0" borderId="17" xfId="0" applyNumberFormat="1" applyBorder="1"/>
    <xf numFmtId="172" fontId="3" fillId="0" borderId="6" xfId="0" applyNumberFormat="1" applyFont="1" applyBorder="1" applyAlignment="1">
      <alignment horizontal="center"/>
    </xf>
    <xf numFmtId="9" fontId="3" fillId="0" borderId="5" xfId="3" applyFont="1" applyBorder="1" applyAlignment="1">
      <alignment horizontal="center"/>
    </xf>
    <xf numFmtId="172" fontId="3" fillId="0" borderId="0" xfId="0" applyNumberFormat="1" applyFont="1"/>
    <xf numFmtId="1" fontId="0" fillId="0" borderId="0" xfId="0" applyNumberFormat="1"/>
    <xf numFmtId="167" fontId="3" fillId="0" borderId="0" xfId="0" applyNumberFormat="1" applyFont="1"/>
    <xf numFmtId="167" fontId="0" fillId="0" borderId="0" xfId="0" applyNumberFormat="1"/>
    <xf numFmtId="171" fontId="2" fillId="0" borderId="0" xfId="1" applyNumberFormat="1" applyFont="1"/>
    <xf numFmtId="0" fontId="3" fillId="2" borderId="12" xfId="0" applyFont="1" applyFill="1" applyBorder="1"/>
    <xf numFmtId="172" fontId="0" fillId="2" borderId="12" xfId="2" applyNumberFormat="1" applyFont="1" applyFill="1" applyBorder="1"/>
    <xf numFmtId="172" fontId="0" fillId="2" borderId="0" xfId="2" applyNumberFormat="1" applyFont="1" applyFill="1" applyAlignment="1"/>
    <xf numFmtId="172" fontId="0" fillId="2" borderId="0" xfId="2" applyNumberFormat="1" applyFont="1" applyFill="1"/>
    <xf numFmtId="171" fontId="0" fillId="0" borderId="0" xfId="0" applyNumberFormat="1"/>
    <xf numFmtId="171" fontId="3" fillId="0" borderId="0" xfId="0" applyNumberFormat="1" applyFont="1"/>
    <xf numFmtId="0" fontId="3" fillId="0" borderId="9" xfId="0" applyFont="1" applyBorder="1"/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39" fontId="3" fillId="0" borderId="7" xfId="0" applyNumberFormat="1" applyFont="1" applyBorder="1" applyAlignment="1">
      <alignment horizontal="center" wrapText="1"/>
    </xf>
    <xf numFmtId="39" fontId="3" fillId="3" borderId="7" xfId="0" applyNumberFormat="1" applyFont="1" applyFill="1" applyBorder="1" applyAlignment="1">
      <alignment horizontal="right" wrapText="1"/>
    </xf>
    <xf numFmtId="39" fontId="3" fillId="0" borderId="8" xfId="0" applyNumberFormat="1" applyFont="1" applyBorder="1" applyAlignment="1">
      <alignment horizontal="center" wrapText="1"/>
    </xf>
    <xf numFmtId="174" fontId="0" fillId="0" borderId="12" xfId="0" applyNumberFormat="1" applyBorder="1" applyAlignment="1">
      <alignment horizontal="center"/>
    </xf>
    <xf numFmtId="166" fontId="8" fillId="0" borderId="12" xfId="1" applyFont="1" applyBorder="1"/>
    <xf numFmtId="166" fontId="13" fillId="0" borderId="12" xfId="1" applyFont="1" applyBorder="1"/>
    <xf numFmtId="0" fontId="0" fillId="0" borderId="12" xfId="0" applyBorder="1" applyAlignment="1">
      <alignment horizontal="center"/>
    </xf>
    <xf numFmtId="9" fontId="0" fillId="0" borderId="12" xfId="0" applyNumberFormat="1" applyBorder="1" applyAlignment="1">
      <alignment horizontal="center"/>
    </xf>
    <xf numFmtId="171" fontId="8" fillId="0" borderId="12" xfId="1" applyNumberFormat="1" applyFont="1" applyBorder="1"/>
    <xf numFmtId="171" fontId="0" fillId="0" borderId="12" xfId="0" applyNumberFormat="1" applyBorder="1"/>
    <xf numFmtId="9" fontId="0" fillId="0" borderId="0" xfId="3" applyFont="1" applyFill="1"/>
    <xf numFmtId="0" fontId="3" fillId="2" borderId="12" xfId="0" applyFont="1" applyFill="1" applyBorder="1" applyAlignment="1">
      <alignment wrapText="1"/>
    </xf>
    <xf numFmtId="39" fontId="0" fillId="0" borderId="12" xfId="0" applyNumberFormat="1" applyBorder="1" applyAlignment="1">
      <alignment wrapText="1"/>
    </xf>
    <xf numFmtId="39" fontId="0" fillId="0" borderId="12" xfId="0" applyNumberFormat="1" applyBorder="1"/>
    <xf numFmtId="171" fontId="0" fillId="0" borderId="12" xfId="1" applyNumberFormat="1" applyFont="1" applyBorder="1"/>
    <xf numFmtId="166" fontId="8" fillId="0" borderId="12" xfId="1" applyFont="1" applyFill="1" applyBorder="1"/>
    <xf numFmtId="171" fontId="0" fillId="0" borderId="12" xfId="1" applyNumberFormat="1" applyFont="1" applyFill="1" applyBorder="1"/>
    <xf numFmtId="0" fontId="3" fillId="3" borderId="6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11" fillId="0" borderId="0" xfId="0" applyFont="1" applyAlignment="1">
      <alignment wrapText="1"/>
    </xf>
    <xf numFmtId="0" fontId="3" fillId="6" borderId="12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0" fillId="0" borderId="18" xfId="0" applyBorder="1"/>
    <xf numFmtId="0" fontId="3" fillId="6" borderId="12" xfId="0" applyFont="1" applyFill="1" applyBorder="1" applyAlignment="1">
      <alignment horizont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/>
    </xf>
    <xf numFmtId="0" fontId="0" fillId="0" borderId="18" xfId="0" applyBorder="1" applyAlignment="1">
      <alignment wrapText="1"/>
    </xf>
    <xf numFmtId="0" fontId="3" fillId="6" borderId="19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9" fontId="3" fillId="0" borderId="0" xfId="3" applyFont="1" applyBorder="1" applyAlignment="1">
      <alignment horizontal="center"/>
    </xf>
    <xf numFmtId="39" fontId="16" fillId="0" borderId="12" xfId="0" applyNumberFormat="1" applyFont="1" applyBorder="1" applyAlignment="1">
      <alignment wrapText="1"/>
    </xf>
    <xf numFmtId="0" fontId="3" fillId="6" borderId="14" xfId="0" applyFont="1" applyFill="1" applyBorder="1" applyAlignment="1">
      <alignment horizontal="center" vertical="center" wrapText="1"/>
    </xf>
    <xf numFmtId="166" fontId="0" fillId="0" borderId="0" xfId="1" applyFont="1" applyFill="1"/>
    <xf numFmtId="0" fontId="19" fillId="0" borderId="0" xfId="0" applyFont="1"/>
    <xf numFmtId="166" fontId="0" fillId="0" borderId="0" xfId="1" applyFont="1" applyFill="1" applyAlignment="1">
      <alignment horizontal="left" wrapText="1"/>
    </xf>
    <xf numFmtId="0" fontId="0" fillId="0" borderId="12" xfId="0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166" fontId="0" fillId="0" borderId="0" xfId="1" applyFont="1"/>
    <xf numFmtId="0" fontId="3" fillId="8" borderId="0" xfId="0" applyFont="1" applyFill="1"/>
    <xf numFmtId="0" fontId="0" fillId="8" borderId="0" xfId="0" applyFill="1"/>
    <xf numFmtId="164" fontId="0" fillId="0" borderId="0" xfId="0" applyNumberFormat="1"/>
    <xf numFmtId="0" fontId="7" fillId="0" borderId="0" xfId="0" applyFont="1" applyAlignment="1">
      <alignment wrapText="1"/>
    </xf>
    <xf numFmtId="172" fontId="0" fillId="8" borderId="0" xfId="0" applyNumberFormat="1" applyFill="1"/>
    <xf numFmtId="0" fontId="17" fillId="4" borderId="0" xfId="4" applyFont="1" applyFill="1" applyAlignment="1">
      <alignment vertical="center"/>
    </xf>
    <xf numFmtId="0" fontId="17" fillId="4" borderId="0" xfId="4" applyFont="1" applyFill="1" applyAlignment="1">
      <alignment vertical="top" wrapText="1"/>
    </xf>
    <xf numFmtId="0" fontId="20" fillId="0" borderId="0" xfId="4"/>
    <xf numFmtId="0" fontId="20" fillId="0" borderId="0" xfId="4" applyAlignment="1">
      <alignment horizontal="left" vertical="top" wrapText="1"/>
    </xf>
    <xf numFmtId="173" fontId="20" fillId="0" borderId="0" xfId="4" applyNumberFormat="1" applyAlignment="1">
      <alignment horizontal="right" vertical="top" wrapText="1"/>
    </xf>
    <xf numFmtId="175" fontId="20" fillId="0" borderId="0" xfId="4" applyNumberFormat="1" applyAlignment="1">
      <alignment horizontal="right" vertical="top" wrapText="1"/>
    </xf>
    <xf numFmtId="0" fontId="20" fillId="0" borderId="9" xfId="4" applyBorder="1" applyAlignment="1">
      <alignment horizontal="left" vertical="top" wrapText="1"/>
    </xf>
    <xf numFmtId="173" fontId="20" fillId="0" borderId="8" xfId="4" applyNumberFormat="1" applyBorder="1" applyAlignment="1">
      <alignment horizontal="left" vertical="top" wrapText="1"/>
    </xf>
    <xf numFmtId="0" fontId="20" fillId="0" borderId="2" xfId="4" applyBorder="1" applyAlignment="1">
      <alignment horizontal="left" vertical="top" wrapText="1"/>
    </xf>
    <xf numFmtId="173" fontId="20" fillId="0" borderId="1" xfId="4" applyNumberFormat="1" applyBorder="1" applyAlignment="1">
      <alignment horizontal="left" vertical="top" wrapText="1"/>
    </xf>
    <xf numFmtId="0" fontId="20" fillId="0" borderId="10" xfId="4" applyBorder="1" applyAlignment="1">
      <alignment horizontal="left" vertical="top" wrapText="1"/>
    </xf>
    <xf numFmtId="173" fontId="20" fillId="0" borderId="11" xfId="4" applyNumberFormat="1" applyBorder="1" applyAlignment="1">
      <alignment horizontal="left"/>
    </xf>
    <xf numFmtId="0" fontId="20" fillId="0" borderId="1" xfId="4" applyBorder="1"/>
    <xf numFmtId="0" fontId="20" fillId="9" borderId="17" xfId="4" applyFill="1" applyBorder="1" applyAlignment="1">
      <alignment horizontal="left" vertical="top" wrapText="1"/>
    </xf>
    <xf numFmtId="173" fontId="20" fillId="9" borderId="23" xfId="4" applyNumberFormat="1" applyFill="1" applyBorder="1" applyAlignment="1">
      <alignment horizontal="left"/>
    </xf>
    <xf numFmtId="176" fontId="20" fillId="0" borderId="0" xfId="4" applyNumberFormat="1" applyAlignment="1">
      <alignment horizontal="left"/>
    </xf>
    <xf numFmtId="173" fontId="20" fillId="0" borderId="0" xfId="4" applyNumberFormat="1"/>
    <xf numFmtId="14" fontId="0" fillId="0" borderId="0" xfId="0" applyNumberFormat="1"/>
    <xf numFmtId="165" fontId="0" fillId="0" borderId="0" xfId="0" applyNumberFormat="1"/>
    <xf numFmtId="0" fontId="8" fillId="0" borderId="0" xfId="0" applyFont="1"/>
    <xf numFmtId="166" fontId="8" fillId="8" borderId="12" xfId="1" applyFont="1" applyFill="1" applyBorder="1"/>
    <xf numFmtId="166" fontId="0" fillId="0" borderId="12" xfId="1" applyFont="1" applyFill="1" applyBorder="1"/>
    <xf numFmtId="166" fontId="0" fillId="0" borderId="12" xfId="1" applyFont="1" applyBorder="1"/>
    <xf numFmtId="0" fontId="3" fillId="8" borderId="12" xfId="0" applyFont="1" applyFill="1" applyBorder="1"/>
    <xf numFmtId="172" fontId="0" fillId="8" borderId="12" xfId="2" applyNumberFormat="1" applyFont="1" applyFill="1" applyBorder="1"/>
    <xf numFmtId="0" fontId="8" fillId="8" borderId="12" xfId="0" applyFont="1" applyFill="1" applyBorder="1" applyAlignment="1">
      <alignment wrapText="1"/>
    </xf>
    <xf numFmtId="0" fontId="3" fillId="8" borderId="12" xfId="0" applyFont="1" applyFill="1" applyBorder="1" applyAlignment="1">
      <alignment wrapText="1"/>
    </xf>
    <xf numFmtId="0" fontId="8" fillId="8" borderId="12" xfId="0" applyFont="1" applyFill="1" applyBorder="1" applyAlignment="1">
      <alignment vertical="center" wrapText="1"/>
    </xf>
    <xf numFmtId="0" fontId="21" fillId="0" borderId="0" xfId="0" applyFont="1" applyAlignment="1">
      <alignment horizontal="right"/>
    </xf>
    <xf numFmtId="43" fontId="0" fillId="0" borderId="0" xfId="0" applyNumberFormat="1"/>
    <xf numFmtId="0" fontId="18" fillId="0" borderId="0" xfId="0" applyFont="1"/>
    <xf numFmtId="0" fontId="18" fillId="0" borderId="0" xfId="0" applyFont="1" applyAlignment="1">
      <alignment wrapText="1"/>
    </xf>
    <xf numFmtId="0" fontId="18" fillId="2" borderId="0" xfId="0" applyFont="1" applyFill="1"/>
    <xf numFmtId="166" fontId="0" fillId="0" borderId="12" xfId="1" applyFont="1" applyFill="1" applyBorder="1" applyAlignment="1"/>
    <xf numFmtId="166" fontId="0" fillId="0" borderId="12" xfId="1" applyFont="1" applyBorder="1" applyAlignment="1">
      <alignment wrapText="1"/>
    </xf>
    <xf numFmtId="166" fontId="2" fillId="0" borderId="12" xfId="1" applyFont="1" applyBorder="1" applyAlignment="1">
      <alignment wrapText="1"/>
    </xf>
    <xf numFmtId="172" fontId="2" fillId="0" borderId="12" xfId="2" applyNumberFormat="1" applyFont="1" applyFill="1" applyBorder="1" applyAlignment="1"/>
    <xf numFmtId="0" fontId="16" fillId="0" borderId="0" xfId="0" applyFont="1"/>
    <xf numFmtId="0" fontId="3" fillId="3" borderId="0" xfId="0" applyFont="1" applyFill="1" applyAlignment="1">
      <alignment horizontal="left"/>
    </xf>
    <xf numFmtId="172" fontId="0" fillId="11" borderId="12" xfId="2" applyNumberFormat="1" applyFont="1" applyFill="1" applyBorder="1"/>
    <xf numFmtId="172" fontId="2" fillId="11" borderId="12" xfId="2" applyNumberFormat="1" applyFont="1" applyFill="1" applyBorder="1" applyAlignment="1">
      <alignment horizontal="center"/>
    </xf>
    <xf numFmtId="172" fontId="0" fillId="11" borderId="12" xfId="2" applyNumberFormat="1" applyFont="1" applyFill="1" applyBorder="1" applyAlignment="1"/>
    <xf numFmtId="0" fontId="10" fillId="0" borderId="12" xfId="0" applyFont="1" applyBorder="1" applyAlignment="1">
      <alignment wrapText="1"/>
    </xf>
    <xf numFmtId="0" fontId="11" fillId="0" borderId="12" xfId="0" applyFont="1" applyBorder="1" applyAlignment="1">
      <alignment horizontal="right"/>
    </xf>
    <xf numFmtId="0" fontId="11" fillId="0" borderId="12" xfId="0" applyFont="1" applyBorder="1" applyAlignment="1">
      <alignment wrapText="1"/>
    </xf>
    <xf numFmtId="166" fontId="8" fillId="0" borderId="12" xfId="1" applyFont="1" applyFill="1" applyBorder="1" applyAlignment="1">
      <alignment wrapText="1"/>
    </xf>
    <xf numFmtId="172" fontId="8" fillId="0" borderId="12" xfId="2" applyNumberFormat="1" applyFont="1" applyFill="1" applyBorder="1"/>
    <xf numFmtId="166" fontId="2" fillId="0" borderId="12" xfId="1" applyFont="1" applyFill="1" applyBorder="1" applyAlignment="1">
      <alignment wrapText="1"/>
    </xf>
    <xf numFmtId="173" fontId="20" fillId="0" borderId="0" xfId="4" applyNumberFormat="1" applyAlignment="1">
      <alignment horizontal="left" vertical="top" wrapText="1"/>
    </xf>
    <xf numFmtId="0" fontId="0" fillId="2" borderId="12" xfId="0" applyFill="1" applyBorder="1" applyAlignment="1">
      <alignment wrapText="1"/>
    </xf>
    <xf numFmtId="166" fontId="4" fillId="0" borderId="0" xfId="1" applyFont="1"/>
    <xf numFmtId="166" fontId="8" fillId="0" borderId="0" xfId="1" applyFont="1"/>
    <xf numFmtId="166" fontId="3" fillId="0" borderId="0" xfId="1" applyFont="1" applyAlignment="1">
      <alignment vertical="center"/>
    </xf>
    <xf numFmtId="0" fontId="16" fillId="0" borderId="0" xfId="0" applyFont="1" applyAlignment="1">
      <alignment wrapText="1"/>
    </xf>
    <xf numFmtId="171" fontId="0" fillId="0" borderId="0" xfId="1" applyNumberFormat="1" applyFont="1"/>
    <xf numFmtId="0" fontId="3" fillId="6" borderId="12" xfId="0" quotePrefix="1" applyFont="1" applyFill="1" applyBorder="1" applyAlignment="1">
      <alignment horizontal="center" wrapText="1"/>
    </xf>
    <xf numFmtId="0" fontId="3" fillId="6" borderId="12" xfId="0" quotePrefix="1" applyFont="1" applyFill="1" applyBorder="1" applyAlignment="1">
      <alignment horizontal="center"/>
    </xf>
    <xf numFmtId="0" fontId="17" fillId="0" borderId="0" xfId="4" applyFont="1"/>
    <xf numFmtId="43" fontId="20" fillId="0" borderId="0" xfId="4" applyNumberFormat="1"/>
    <xf numFmtId="43" fontId="0" fillId="0" borderId="0" xfId="5" applyFont="1"/>
    <xf numFmtId="178" fontId="23" fillId="0" borderId="20" xfId="4" applyNumberFormat="1" applyFont="1" applyBorder="1" applyAlignment="1">
      <alignment horizontal="right" wrapText="1"/>
    </xf>
    <xf numFmtId="0" fontId="23" fillId="0" borderId="0" xfId="4" applyFont="1" applyAlignment="1">
      <alignment horizontal="left" wrapText="1"/>
    </xf>
    <xf numFmtId="177" fontId="22" fillId="0" borderId="0" xfId="4" applyNumberFormat="1" applyFont="1" applyAlignment="1">
      <alignment horizontal="right" wrapText="1"/>
    </xf>
    <xf numFmtId="0" fontId="22" fillId="0" borderId="0" xfId="4" quotePrefix="1" applyFont="1" applyAlignment="1">
      <alignment horizontal="left" wrapText="1"/>
    </xf>
    <xf numFmtId="0" fontId="22" fillId="0" borderId="0" xfId="4" applyFont="1" applyAlignment="1">
      <alignment horizontal="left" wrapText="1"/>
    </xf>
    <xf numFmtId="0" fontId="24" fillId="0" borderId="22" xfId="4" applyFont="1" applyBorder="1" applyAlignment="1">
      <alignment horizontal="center" wrapText="1"/>
    </xf>
    <xf numFmtId="173" fontId="17" fillId="0" borderId="0" xfId="4" applyNumberFormat="1" applyFont="1" applyAlignment="1">
      <alignment horizontal="right" vertical="top" wrapText="1"/>
    </xf>
    <xf numFmtId="173" fontId="20" fillId="0" borderId="22" xfId="4" applyNumberFormat="1" applyBorder="1" applyAlignment="1">
      <alignment horizontal="right" vertical="top" wrapText="1"/>
    </xf>
    <xf numFmtId="175" fontId="20" fillId="0" borderId="22" xfId="4" applyNumberFormat="1" applyBorder="1" applyAlignment="1">
      <alignment horizontal="right" vertical="top" wrapText="1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vertical="center" wrapText="1"/>
    </xf>
    <xf numFmtId="17" fontId="0" fillId="0" borderId="0" xfId="0" applyNumberFormat="1" applyAlignment="1">
      <alignment vertical="center" wrapText="1"/>
    </xf>
    <xf numFmtId="0" fontId="4" fillId="0" borderId="0" xfId="0" applyFont="1" applyAlignment="1">
      <alignment horizontal="right"/>
    </xf>
    <xf numFmtId="3" fontId="3" fillId="0" borderId="17" xfId="0" applyNumberFormat="1" applyFont="1" applyBorder="1"/>
    <xf numFmtId="0" fontId="0" fillId="8" borderId="12" xfId="0" applyFill="1" applyBorder="1" applyAlignment="1">
      <alignment wrapText="1"/>
    </xf>
    <xf numFmtId="6" fontId="0" fillId="0" borderId="0" xfId="0" applyNumberFormat="1"/>
    <xf numFmtId="8" fontId="0" fillId="0" borderId="0" xfId="0" applyNumberFormat="1"/>
    <xf numFmtId="8" fontId="0" fillId="0" borderId="12" xfId="0" applyNumberFormat="1" applyBorder="1" applyAlignment="1">
      <alignment wrapText="1"/>
    </xf>
    <xf numFmtId="0" fontId="0" fillId="8" borderId="18" xfId="0" applyFill="1" applyBorder="1" applyAlignment="1">
      <alignment wrapText="1"/>
    </xf>
    <xf numFmtId="166" fontId="0" fillId="0" borderId="17" xfId="1" applyFont="1" applyBorder="1"/>
    <xf numFmtId="166" fontId="0" fillId="0" borderId="22" xfId="1" applyFont="1" applyBorder="1"/>
    <xf numFmtId="0" fontId="0" fillId="0" borderId="0" xfId="0" applyAlignment="1">
      <alignment vertical="center"/>
    </xf>
    <xf numFmtId="0" fontId="3" fillId="0" borderId="3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33" xfId="0" applyBorder="1" applyAlignment="1">
      <alignment horizontal="left" vertical="center" wrapText="1" indent="2"/>
    </xf>
    <xf numFmtId="0" fontId="0" fillId="0" borderId="11" xfId="0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8" fillId="0" borderId="33" xfId="0" applyFont="1" applyBorder="1" applyAlignment="1">
      <alignment horizontal="left" vertical="center" wrapText="1" indent="4"/>
    </xf>
    <xf numFmtId="0" fontId="0" fillId="0" borderId="1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6" fillId="0" borderId="0" xfId="0" applyFont="1" applyAlignment="1">
      <alignment horizontal="right"/>
    </xf>
    <xf numFmtId="166" fontId="0" fillId="0" borderId="11" xfId="1" applyFont="1" applyBorder="1" applyAlignment="1">
      <alignment vertical="center" wrapText="1"/>
    </xf>
    <xf numFmtId="166" fontId="3" fillId="0" borderId="17" xfId="0" applyNumberFormat="1" applyFont="1" applyBorder="1"/>
    <xf numFmtId="43" fontId="17" fillId="0" borderId="5" xfId="5" applyFont="1" applyBorder="1"/>
    <xf numFmtId="0" fontId="17" fillId="0" borderId="6" xfId="4" applyFont="1" applyBorder="1"/>
    <xf numFmtId="0" fontId="29" fillId="0" borderId="0" xfId="4" applyFont="1"/>
    <xf numFmtId="43" fontId="20" fillId="0" borderId="0" xfId="5" applyFont="1"/>
    <xf numFmtId="43" fontId="20" fillId="0" borderId="15" xfId="5" applyFont="1" applyBorder="1"/>
    <xf numFmtId="0" fontId="20" fillId="0" borderId="14" xfId="4" applyBorder="1"/>
    <xf numFmtId="43" fontId="17" fillId="0" borderId="0" xfId="5" applyFont="1"/>
    <xf numFmtId="43" fontId="0" fillId="0" borderId="15" xfId="5" applyFont="1" applyBorder="1"/>
    <xf numFmtId="0" fontId="3" fillId="0" borderId="0" xfId="0" applyFont="1" applyAlignment="1">
      <alignment horizontal="right" wrapText="1"/>
    </xf>
    <xf numFmtId="166" fontId="0" fillId="0" borderId="0" xfId="1" applyFont="1" applyAlignment="1">
      <alignment horizontal="center"/>
    </xf>
    <xf numFmtId="0" fontId="20" fillId="0" borderId="0" xfId="4" applyAlignment="1">
      <alignment horizontal="right"/>
    </xf>
    <xf numFmtId="0" fontId="30" fillId="2" borderId="0" xfId="0" applyFont="1" applyFill="1" applyAlignment="1">
      <alignment horizontal="left"/>
    </xf>
    <xf numFmtId="171" fontId="30" fillId="7" borderId="25" xfId="1" applyNumberFormat="1" applyFont="1" applyFill="1" applyBorder="1"/>
    <xf numFmtId="171" fontId="30" fillId="10" borderId="20" xfId="1" applyNumberFormat="1" applyFont="1" applyFill="1" applyBorder="1"/>
    <xf numFmtId="171" fontId="30" fillId="5" borderId="0" xfId="1" applyNumberFormat="1" applyFont="1" applyFill="1"/>
    <xf numFmtId="171" fontId="30" fillId="3" borderId="0" xfId="1" applyNumberFormat="1" applyFont="1" applyFill="1"/>
    <xf numFmtId="171" fontId="30" fillId="14" borderId="0" xfId="1" applyNumberFormat="1" applyFont="1" applyFill="1"/>
    <xf numFmtId="171" fontId="30" fillId="0" borderId="31" xfId="1" applyNumberFormat="1" applyFont="1" applyFill="1" applyBorder="1"/>
    <xf numFmtId="171" fontId="30" fillId="12" borderId="34" xfId="1" applyNumberFormat="1" applyFont="1" applyFill="1" applyBorder="1"/>
    <xf numFmtId="171" fontId="31" fillId="13" borderId="34" xfId="1" applyNumberFormat="1" applyFont="1" applyFill="1" applyBorder="1"/>
    <xf numFmtId="171" fontId="31" fillId="0" borderId="0" xfId="1" applyNumberFormat="1" applyFont="1" applyFill="1" applyBorder="1"/>
    <xf numFmtId="0" fontId="31" fillId="0" borderId="0" xfId="1" quotePrefix="1" applyNumberFormat="1" applyFont="1" applyFill="1" applyBorder="1" applyAlignment="1">
      <alignment horizontal="center" wrapText="1"/>
    </xf>
    <xf numFmtId="0" fontId="30" fillId="0" borderId="0" xfId="0" applyFont="1"/>
    <xf numFmtId="0" fontId="30" fillId="2" borderId="0" xfId="0" applyFont="1" applyFill="1" applyAlignment="1">
      <alignment wrapText="1"/>
    </xf>
    <xf numFmtId="171" fontId="32" fillId="7" borderId="26" xfId="1" applyNumberFormat="1" applyFont="1" applyFill="1" applyBorder="1" applyAlignment="1">
      <alignment horizontal="center" wrapText="1"/>
    </xf>
    <xf numFmtId="171" fontId="32" fillId="10" borderId="0" xfId="1" applyNumberFormat="1" applyFont="1" applyFill="1" applyBorder="1" applyAlignment="1">
      <alignment horizontal="center" wrapText="1"/>
    </xf>
    <xf numFmtId="171" fontId="32" fillId="5" borderId="0" xfId="1" applyNumberFormat="1" applyFont="1" applyFill="1" applyBorder="1" applyAlignment="1">
      <alignment horizontal="center" wrapText="1"/>
    </xf>
    <xf numFmtId="171" fontId="32" fillId="3" borderId="0" xfId="1" applyNumberFormat="1" applyFont="1" applyFill="1" applyAlignment="1">
      <alignment horizontal="center" wrapText="1"/>
    </xf>
    <xf numFmtId="171" fontId="32" fillId="14" borderId="0" xfId="1" applyNumberFormat="1" applyFont="1" applyFill="1" applyAlignment="1">
      <alignment horizontal="center" wrapText="1"/>
    </xf>
    <xf numFmtId="171" fontId="32" fillId="0" borderId="32" xfId="1" applyNumberFormat="1" applyFont="1" applyFill="1" applyBorder="1" applyAlignment="1">
      <alignment horizontal="center" wrapText="1"/>
    </xf>
    <xf numFmtId="171" fontId="34" fillId="0" borderId="0" xfId="1" applyNumberFormat="1" applyFont="1" applyFill="1" applyBorder="1" applyAlignment="1">
      <alignment horizontal="center" wrapText="1"/>
    </xf>
    <xf numFmtId="0" fontId="30" fillId="2" borderId="0" xfId="0" applyFont="1" applyFill="1"/>
    <xf numFmtId="0" fontId="35" fillId="7" borderId="26" xfId="0" applyFont="1" applyFill="1" applyBorder="1" applyAlignment="1">
      <alignment horizontal="center"/>
    </xf>
    <xf numFmtId="0" fontId="35" fillId="10" borderId="0" xfId="0" applyFont="1" applyFill="1" applyAlignment="1">
      <alignment horizontal="center"/>
    </xf>
    <xf numFmtId="0" fontId="35" fillId="5" borderId="0" xfId="0" applyFont="1" applyFill="1" applyAlignment="1">
      <alignment horizontal="center"/>
    </xf>
    <xf numFmtId="0" fontId="35" fillId="3" borderId="0" xfId="0" applyFont="1" applyFill="1" applyAlignment="1">
      <alignment horizontal="center"/>
    </xf>
    <xf numFmtId="0" fontId="35" fillId="14" borderId="0" xfId="0" applyFont="1" applyFill="1" applyAlignment="1">
      <alignment horizontal="center"/>
    </xf>
    <xf numFmtId="0" fontId="35" fillId="0" borderId="32" xfId="0" applyFont="1" applyBorder="1" applyAlignment="1">
      <alignment horizontal="center"/>
    </xf>
    <xf numFmtId="0" fontId="35" fillId="12" borderId="35" xfId="0" applyFont="1" applyFill="1" applyBorder="1" applyAlignment="1">
      <alignment horizontal="center"/>
    </xf>
    <xf numFmtId="0" fontId="36" fillId="13" borderId="35" xfId="0" applyFont="1" applyFill="1" applyBorder="1" applyAlignment="1">
      <alignment horizontal="center"/>
    </xf>
    <xf numFmtId="171" fontId="37" fillId="0" borderId="0" xfId="1" applyNumberFormat="1" applyFont="1" applyFill="1" applyBorder="1" applyAlignment="1">
      <alignment horizontal="center"/>
    </xf>
    <xf numFmtId="0" fontId="32" fillId="2" borderId="0" xfId="0" applyFont="1" applyFill="1"/>
    <xf numFmtId="0" fontId="38" fillId="7" borderId="26" xfId="0" applyFont="1" applyFill="1" applyBorder="1" applyAlignment="1">
      <alignment horizontal="center"/>
    </xf>
    <xf numFmtId="171" fontId="32" fillId="10" borderId="0" xfId="1" applyNumberFormat="1" applyFont="1" applyFill="1" applyBorder="1" applyAlignment="1">
      <alignment horizontal="center"/>
    </xf>
    <xf numFmtId="171" fontId="32" fillId="5" borderId="0" xfId="1" applyNumberFormat="1" applyFont="1" applyFill="1" applyBorder="1" applyAlignment="1">
      <alignment horizontal="center"/>
    </xf>
    <xf numFmtId="171" fontId="32" fillId="3" borderId="0" xfId="1" applyNumberFormat="1" applyFont="1" applyFill="1" applyAlignment="1">
      <alignment horizontal="center"/>
    </xf>
    <xf numFmtId="171" fontId="32" fillId="14" borderId="0" xfId="1" applyNumberFormat="1" applyFont="1" applyFill="1" applyAlignment="1">
      <alignment horizontal="center"/>
    </xf>
    <xf numFmtId="171" fontId="32" fillId="0" borderId="32" xfId="1" applyNumberFormat="1" applyFont="1" applyFill="1" applyBorder="1" applyAlignment="1">
      <alignment horizontal="center"/>
    </xf>
    <xf numFmtId="171" fontId="32" fillId="12" borderId="35" xfId="1" applyNumberFormat="1" applyFont="1" applyFill="1" applyBorder="1" applyAlignment="1">
      <alignment horizontal="center"/>
    </xf>
    <xf numFmtId="171" fontId="31" fillId="13" borderId="35" xfId="1" applyNumberFormat="1" applyFont="1" applyFill="1" applyBorder="1" applyAlignment="1">
      <alignment horizontal="center"/>
    </xf>
    <xf numFmtId="171" fontId="39" fillId="0" borderId="0" xfId="1" applyNumberFormat="1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2" borderId="0" xfId="0" applyFont="1" applyFill="1" applyAlignment="1">
      <alignment horizontal="center"/>
    </xf>
    <xf numFmtId="171" fontId="32" fillId="7" borderId="26" xfId="1" quotePrefix="1" applyNumberFormat="1" applyFont="1" applyFill="1" applyBorder="1" applyAlignment="1">
      <alignment horizontal="center"/>
    </xf>
    <xf numFmtId="171" fontId="32" fillId="10" borderId="0" xfId="1" quotePrefix="1" applyNumberFormat="1" applyFont="1" applyFill="1" applyBorder="1" applyAlignment="1">
      <alignment horizontal="center"/>
    </xf>
    <xf numFmtId="171" fontId="32" fillId="5" borderId="0" xfId="1" quotePrefix="1" applyNumberFormat="1" applyFont="1" applyFill="1" applyAlignment="1">
      <alignment horizontal="center"/>
    </xf>
    <xf numFmtId="171" fontId="32" fillId="3" borderId="0" xfId="1" quotePrefix="1" applyNumberFormat="1" applyFont="1" applyFill="1" applyAlignment="1">
      <alignment horizontal="center"/>
    </xf>
    <xf numFmtId="171" fontId="32" fillId="14" borderId="0" xfId="1" quotePrefix="1" applyNumberFormat="1" applyFont="1" applyFill="1" applyAlignment="1">
      <alignment horizontal="center"/>
    </xf>
    <xf numFmtId="0" fontId="32" fillId="0" borderId="32" xfId="1" quotePrefix="1" applyNumberFormat="1" applyFont="1" applyFill="1" applyBorder="1" applyAlignment="1">
      <alignment horizontal="center" wrapText="1"/>
    </xf>
    <xf numFmtId="0" fontId="32" fillId="12" borderId="35" xfId="1" quotePrefix="1" applyNumberFormat="1" applyFont="1" applyFill="1" applyBorder="1" applyAlignment="1">
      <alignment horizontal="center" wrapText="1"/>
    </xf>
    <xf numFmtId="0" fontId="31" fillId="13" borderId="35" xfId="1" quotePrefix="1" applyNumberFormat="1" applyFont="1" applyFill="1" applyBorder="1" applyAlignment="1">
      <alignment horizontal="center" wrapText="1"/>
    </xf>
    <xf numFmtId="171" fontId="31" fillId="0" borderId="0" xfId="1" applyNumberFormat="1" applyFont="1" applyFill="1" applyBorder="1" applyAlignment="1">
      <alignment horizontal="center"/>
    </xf>
    <xf numFmtId="4" fontId="30" fillId="2" borderId="0" xfId="0" applyNumberFormat="1" applyFont="1" applyFill="1" applyAlignment="1">
      <alignment wrapText="1"/>
    </xf>
    <xf numFmtId="41" fontId="30" fillId="2" borderId="0" xfId="0" applyNumberFormat="1" applyFont="1" applyFill="1" applyAlignment="1">
      <alignment wrapText="1"/>
    </xf>
    <xf numFmtId="171" fontId="32" fillId="7" borderId="26" xfId="1" applyNumberFormat="1" applyFont="1" applyFill="1" applyBorder="1" applyAlignment="1">
      <alignment horizontal="center"/>
    </xf>
    <xf numFmtId="171" fontId="32" fillId="5" borderId="0" xfId="1" applyNumberFormat="1" applyFont="1" applyFill="1" applyAlignment="1">
      <alignment horizontal="center"/>
    </xf>
    <xf numFmtId="171" fontId="33" fillId="12" borderId="35" xfId="1" applyNumberFormat="1" applyFont="1" applyFill="1" applyBorder="1" applyAlignment="1">
      <alignment horizontal="center"/>
    </xf>
    <xf numFmtId="171" fontId="34" fillId="13" borderId="35" xfId="1" applyNumberFormat="1" applyFont="1" applyFill="1" applyBorder="1" applyAlignment="1">
      <alignment horizontal="center"/>
    </xf>
    <xf numFmtId="171" fontId="31" fillId="0" borderId="0" xfId="1" applyNumberFormat="1" applyFont="1" applyFill="1"/>
    <xf numFmtId="0" fontId="32" fillId="2" borderId="0" xfId="0" applyFont="1" applyFill="1" applyAlignment="1">
      <alignment horizontal="left"/>
    </xf>
    <xf numFmtId="0" fontId="32" fillId="0" borderId="0" xfId="0" applyFont="1" applyAlignment="1">
      <alignment horizontal="center"/>
    </xf>
    <xf numFmtId="37" fontId="30" fillId="2" borderId="0" xfId="0" applyNumberFormat="1" applyFont="1" applyFill="1" applyAlignment="1">
      <alignment wrapText="1"/>
    </xf>
    <xf numFmtId="179" fontId="30" fillId="2" borderId="0" xfId="0" applyNumberFormat="1" applyFont="1" applyFill="1" applyAlignment="1">
      <alignment wrapText="1"/>
    </xf>
    <xf numFmtId="171" fontId="30" fillId="7" borderId="26" xfId="1" applyNumberFormat="1" applyFont="1" applyFill="1" applyBorder="1"/>
    <xf numFmtId="171" fontId="30" fillId="10" borderId="0" xfId="1" applyNumberFormat="1" applyFont="1" applyFill="1" applyBorder="1"/>
    <xf numFmtId="171" fontId="30" fillId="0" borderId="32" xfId="1" applyNumberFormat="1" applyFont="1" applyFill="1" applyBorder="1"/>
    <xf numFmtId="171" fontId="41" fillId="13" borderId="35" xfId="1" applyNumberFormat="1" applyFont="1" applyFill="1" applyBorder="1" applyAlignment="1">
      <alignment horizontal="center"/>
    </xf>
    <xf numFmtId="171" fontId="41" fillId="0" borderId="0" xfId="1" applyNumberFormat="1" applyFont="1" applyFill="1" applyBorder="1" applyAlignment="1">
      <alignment horizontal="center"/>
    </xf>
    <xf numFmtId="171" fontId="30" fillId="12" borderId="35" xfId="1" applyNumberFormat="1" applyFont="1" applyFill="1" applyBorder="1"/>
    <xf numFmtId="171" fontId="31" fillId="13" borderId="35" xfId="1" applyNumberFormat="1" applyFont="1" applyFill="1" applyBorder="1"/>
    <xf numFmtId="0" fontId="32" fillId="2" borderId="4" xfId="0" applyFont="1" applyFill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0" fillId="2" borderId="4" xfId="0" applyFont="1" applyFill="1" applyBorder="1" applyAlignment="1">
      <alignment horizontal="left"/>
    </xf>
    <xf numFmtId="3" fontId="32" fillId="2" borderId="4" xfId="0" applyNumberFormat="1" applyFont="1" applyFill="1" applyBorder="1" applyAlignment="1">
      <alignment wrapText="1"/>
    </xf>
    <xf numFmtId="171" fontId="32" fillId="7" borderId="13" xfId="1" applyNumberFormat="1" applyFont="1" applyFill="1" applyBorder="1" applyAlignment="1">
      <alignment vertical="center"/>
    </xf>
    <xf numFmtId="171" fontId="32" fillId="10" borderId="4" xfId="1" applyNumberFormat="1" applyFont="1" applyFill="1" applyBorder="1" applyAlignment="1">
      <alignment vertical="center"/>
    </xf>
    <xf numFmtId="171" fontId="32" fillId="5" borderId="4" xfId="1" applyNumberFormat="1" applyFont="1" applyFill="1" applyBorder="1" applyAlignment="1">
      <alignment vertical="center"/>
    </xf>
    <xf numFmtId="171" fontId="32" fillId="3" borderId="4" xfId="1" applyNumberFormat="1" applyFont="1" applyFill="1" applyBorder="1" applyAlignment="1">
      <alignment vertical="center"/>
    </xf>
    <xf numFmtId="171" fontId="32" fillId="14" borderId="4" xfId="1" applyNumberFormat="1" applyFont="1" applyFill="1" applyBorder="1" applyAlignment="1">
      <alignment vertical="center"/>
    </xf>
    <xf numFmtId="171" fontId="32" fillId="0" borderId="30" xfId="1" applyNumberFormat="1" applyFont="1" applyFill="1" applyBorder="1" applyAlignment="1">
      <alignment vertical="center"/>
    </xf>
    <xf numFmtId="171" fontId="32" fillId="12" borderId="36" xfId="1" applyNumberFormat="1" applyFont="1" applyFill="1" applyBorder="1" applyAlignment="1">
      <alignment vertical="center"/>
    </xf>
    <xf numFmtId="171" fontId="42" fillId="13" borderId="36" xfId="1" applyNumberFormat="1" applyFont="1" applyFill="1" applyBorder="1" applyAlignment="1">
      <alignment vertical="center"/>
    </xf>
    <xf numFmtId="10" fontId="31" fillId="0" borderId="0" xfId="3" quotePrefix="1" applyNumberFormat="1" applyFont="1" applyFill="1" applyBorder="1" applyAlignment="1">
      <alignment horizontal="center" wrapText="1"/>
    </xf>
    <xf numFmtId="171" fontId="30" fillId="7" borderId="26" xfId="1" applyNumberFormat="1" applyFont="1" applyFill="1" applyBorder="1" applyAlignment="1">
      <alignment vertical="center"/>
    </xf>
    <xf numFmtId="171" fontId="30" fillId="10" borderId="0" xfId="1" applyNumberFormat="1" applyFont="1" applyFill="1" applyBorder="1" applyAlignment="1">
      <alignment vertical="center"/>
    </xf>
    <xf numFmtId="171" fontId="30" fillId="5" borderId="0" xfId="1" applyNumberFormat="1" applyFont="1" applyFill="1" applyAlignment="1">
      <alignment vertical="center"/>
    </xf>
    <xf numFmtId="171" fontId="30" fillId="3" borderId="0" xfId="1" applyNumberFormat="1" applyFont="1" applyFill="1" applyAlignment="1">
      <alignment vertical="center"/>
    </xf>
    <xf numFmtId="171" fontId="30" fillId="14" borderId="0" xfId="1" applyNumberFormat="1" applyFont="1" applyFill="1" applyAlignment="1">
      <alignment vertical="center"/>
    </xf>
    <xf numFmtId="171" fontId="30" fillId="0" borderId="32" xfId="1" applyNumberFormat="1" applyFont="1" applyFill="1" applyBorder="1" applyAlignment="1">
      <alignment vertical="center"/>
    </xf>
    <xf numFmtId="171" fontId="30" fillId="12" borderId="35" xfId="1" applyNumberFormat="1" applyFont="1" applyFill="1" applyBorder="1" applyAlignment="1">
      <alignment vertical="center"/>
    </xf>
    <xf numFmtId="171" fontId="31" fillId="13" borderId="35" xfId="1" applyNumberFormat="1" applyFont="1" applyFill="1" applyBorder="1" applyAlignment="1">
      <alignment vertical="center"/>
    </xf>
    <xf numFmtId="0" fontId="30" fillId="0" borderId="0" xfId="0" applyFont="1" applyAlignment="1">
      <alignment wrapText="1"/>
    </xf>
    <xf numFmtId="0" fontId="43" fillId="0" borderId="0" xfId="0" applyFont="1" applyAlignment="1">
      <alignment wrapText="1"/>
    </xf>
    <xf numFmtId="171" fontId="30" fillId="7" borderId="26" xfId="1" applyNumberFormat="1" applyFont="1" applyFill="1" applyBorder="1" applyAlignment="1">
      <alignment horizontal="right" vertical="center"/>
    </xf>
    <xf numFmtId="171" fontId="30" fillId="10" borderId="0" xfId="1" applyNumberFormat="1" applyFont="1" applyFill="1" applyBorder="1" applyAlignment="1">
      <alignment horizontal="right" vertical="center"/>
    </xf>
    <xf numFmtId="171" fontId="30" fillId="5" borderId="0" xfId="1" applyNumberFormat="1" applyFont="1" applyFill="1" applyAlignment="1">
      <alignment horizontal="right" vertical="center"/>
    </xf>
    <xf numFmtId="171" fontId="30" fillId="3" borderId="0" xfId="1" applyNumberFormat="1" applyFont="1" applyFill="1" applyAlignment="1">
      <alignment horizontal="right" vertical="center"/>
    </xf>
    <xf numFmtId="171" fontId="30" fillId="14" borderId="0" xfId="1" applyNumberFormat="1" applyFont="1" applyFill="1" applyAlignment="1">
      <alignment horizontal="right" vertical="center"/>
    </xf>
    <xf numFmtId="171" fontId="30" fillId="0" borderId="32" xfId="1" applyNumberFormat="1" applyFont="1" applyFill="1" applyBorder="1" applyAlignment="1">
      <alignment horizontal="right" vertical="center"/>
    </xf>
    <xf numFmtId="171" fontId="30" fillId="12" borderId="35" xfId="1" applyNumberFormat="1" applyFont="1" applyFill="1" applyBorder="1" applyAlignment="1">
      <alignment horizontal="right" vertical="center"/>
    </xf>
    <xf numFmtId="171" fontId="31" fillId="13" borderId="35" xfId="1" applyNumberFormat="1" applyFont="1" applyFill="1" applyBorder="1" applyAlignment="1">
      <alignment horizontal="right" vertical="center"/>
    </xf>
    <xf numFmtId="38" fontId="30" fillId="10" borderId="0" xfId="1" applyNumberFormat="1" applyFont="1" applyFill="1" applyBorder="1" applyAlignment="1">
      <alignment horizontal="right" vertical="center"/>
    </xf>
    <xf numFmtId="38" fontId="30" fillId="3" borderId="0" xfId="1" applyNumberFormat="1" applyFont="1" applyFill="1" applyAlignment="1">
      <alignment horizontal="right" vertical="center"/>
    </xf>
    <xf numFmtId="38" fontId="30" fillId="14" borderId="0" xfId="1" applyNumberFormat="1" applyFont="1" applyFill="1" applyAlignment="1">
      <alignment horizontal="right" vertical="center"/>
    </xf>
    <xf numFmtId="0" fontId="44" fillId="0" borderId="0" xfId="0" applyFont="1" applyAlignment="1">
      <alignment wrapText="1"/>
    </xf>
    <xf numFmtId="0" fontId="32" fillId="0" borderId="4" xfId="0" applyFont="1" applyBorder="1" applyAlignment="1">
      <alignment wrapText="1"/>
    </xf>
    <xf numFmtId="0" fontId="32" fillId="2" borderId="4" xfId="0" applyFont="1" applyFill="1" applyBorder="1" applyAlignment="1">
      <alignment wrapText="1"/>
    </xf>
    <xf numFmtId="3" fontId="30" fillId="2" borderId="0" xfId="0" applyNumberFormat="1" applyFont="1" applyFill="1" applyAlignment="1">
      <alignment horizontal="left"/>
    </xf>
    <xf numFmtId="0" fontId="30" fillId="2" borderId="0" xfId="0" quotePrefix="1" applyFont="1" applyFill="1" applyAlignment="1">
      <alignment horizontal="left"/>
    </xf>
    <xf numFmtId="38" fontId="32" fillId="10" borderId="0" xfId="1" applyNumberFormat="1" applyFont="1" applyFill="1" applyBorder="1" applyAlignment="1">
      <alignment horizontal="right" vertical="center"/>
    </xf>
    <xf numFmtId="37" fontId="32" fillId="3" borderId="4" xfId="1" applyNumberFormat="1" applyFont="1" applyFill="1" applyBorder="1" applyAlignment="1">
      <alignment vertical="center"/>
    </xf>
    <xf numFmtId="37" fontId="32" fillId="14" borderId="4" xfId="1" applyNumberFormat="1" applyFont="1" applyFill="1" applyBorder="1" applyAlignment="1">
      <alignment vertical="center"/>
    </xf>
    <xf numFmtId="0" fontId="32" fillId="0" borderId="4" xfId="0" applyFont="1" applyBorder="1" applyAlignment="1">
      <alignment horizontal="left"/>
    </xf>
    <xf numFmtId="171" fontId="32" fillId="12" borderId="30" xfId="1" applyNumberFormat="1" applyFont="1" applyFill="1" applyBorder="1" applyAlignment="1">
      <alignment vertical="center"/>
    </xf>
    <xf numFmtId="171" fontId="42" fillId="13" borderId="30" xfId="1" applyNumberFormat="1" applyFont="1" applyFill="1" applyBorder="1" applyAlignment="1">
      <alignment vertical="center"/>
    </xf>
    <xf numFmtId="0" fontId="30" fillId="0" borderId="0" xfId="0" applyFont="1" applyAlignment="1">
      <alignment horizontal="left"/>
    </xf>
    <xf numFmtId="0" fontId="32" fillId="2" borderId="4" xfId="0" applyFont="1" applyFill="1" applyBorder="1" applyAlignment="1">
      <alignment horizontal="left"/>
    </xf>
    <xf numFmtId="0" fontId="32" fillId="2" borderId="27" xfId="0" applyFont="1" applyFill="1" applyBorder="1" applyAlignment="1">
      <alignment wrapText="1"/>
    </xf>
    <xf numFmtId="0" fontId="30" fillId="0" borderId="0" xfId="0" applyFont="1" applyAlignment="1">
      <alignment horizontal="left" wrapText="1"/>
    </xf>
    <xf numFmtId="0" fontId="30" fillId="0" borderId="3" xfId="0" applyFont="1" applyBorder="1" applyAlignment="1">
      <alignment horizontal="center"/>
    </xf>
    <xf numFmtId="0" fontId="30" fillId="2" borderId="3" xfId="0" applyFont="1" applyFill="1" applyBorder="1" applyAlignment="1">
      <alignment horizontal="left"/>
    </xf>
    <xf numFmtId="0" fontId="30" fillId="2" borderId="24" xfId="0" applyFont="1" applyFill="1" applyBorder="1" applyAlignment="1">
      <alignment horizontal="left" wrapText="1"/>
    </xf>
    <xf numFmtId="0" fontId="30" fillId="2" borderId="0" xfId="0" applyFont="1" applyFill="1" applyAlignment="1">
      <alignment horizontal="left" wrapText="1"/>
    </xf>
    <xf numFmtId="0" fontId="30" fillId="2" borderId="0" xfId="0" applyFont="1" applyFill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30" fillId="2" borderId="0" xfId="0" applyFont="1" applyFill="1" applyAlignment="1">
      <alignment horizontal="left" vertical="top"/>
    </xf>
    <xf numFmtId="0" fontId="32" fillId="2" borderId="4" xfId="0" applyFont="1" applyFill="1" applyBorder="1" applyAlignment="1">
      <alignment horizontal="center" vertical="top"/>
    </xf>
    <xf numFmtId="0" fontId="32" fillId="0" borderId="4" xfId="0" applyFont="1" applyBorder="1" applyAlignment="1">
      <alignment horizontal="center" vertical="top"/>
    </xf>
    <xf numFmtId="0" fontId="32" fillId="2" borderId="4" xfId="0" applyFont="1" applyFill="1" applyBorder="1" applyAlignment="1">
      <alignment horizontal="left" vertical="top"/>
    </xf>
    <xf numFmtId="37" fontId="30" fillId="5" borderId="0" xfId="1" applyNumberFormat="1" applyFont="1" applyFill="1" applyAlignment="1">
      <alignment vertical="center"/>
    </xf>
    <xf numFmtId="39" fontId="30" fillId="14" borderId="0" xfId="1" applyNumberFormat="1" applyFont="1" applyFill="1" applyAlignment="1">
      <alignment vertical="center"/>
    </xf>
    <xf numFmtId="169" fontId="30" fillId="2" borderId="0" xfId="0" applyNumberFormat="1" applyFont="1" applyFill="1" applyAlignment="1">
      <alignment horizontal="center"/>
    </xf>
    <xf numFmtId="2" fontId="30" fillId="0" borderId="0" xfId="0" applyNumberFormat="1" applyFont="1" applyAlignment="1">
      <alignment horizontal="center"/>
    </xf>
    <xf numFmtId="170" fontId="30" fillId="2" borderId="0" xfId="0" applyNumberFormat="1" applyFont="1" applyFill="1" applyAlignment="1">
      <alignment wrapText="1"/>
    </xf>
    <xf numFmtId="0" fontId="30" fillId="2" borderId="3" xfId="0" applyFont="1" applyFill="1" applyBorder="1" applyAlignment="1">
      <alignment horizontal="left" vertical="top"/>
    </xf>
    <xf numFmtId="0" fontId="30" fillId="2" borderId="3" xfId="0" applyFont="1" applyFill="1" applyBorder="1" applyAlignment="1">
      <alignment wrapText="1"/>
    </xf>
    <xf numFmtId="171" fontId="30" fillId="7" borderId="29" xfId="1" applyNumberFormat="1" applyFont="1" applyFill="1" applyBorder="1" applyAlignment="1">
      <alignment vertical="center"/>
    </xf>
    <xf numFmtId="171" fontId="30" fillId="10" borderId="3" xfId="1" applyNumberFormat="1" applyFont="1" applyFill="1" applyBorder="1" applyAlignment="1">
      <alignment vertical="center"/>
    </xf>
    <xf numFmtId="171" fontId="30" fillId="5" borderId="3" xfId="1" applyNumberFormat="1" applyFont="1" applyFill="1" applyBorder="1" applyAlignment="1">
      <alignment vertical="center"/>
    </xf>
    <xf numFmtId="171" fontId="30" fillId="3" borderId="3" xfId="1" applyNumberFormat="1" applyFont="1" applyFill="1" applyBorder="1" applyAlignment="1">
      <alignment vertical="center"/>
    </xf>
    <xf numFmtId="171" fontId="30" fillId="14" borderId="3" xfId="1" applyNumberFormat="1" applyFont="1" applyFill="1" applyBorder="1" applyAlignment="1">
      <alignment vertical="center"/>
    </xf>
    <xf numFmtId="171" fontId="30" fillId="0" borderId="33" xfId="1" applyNumberFormat="1" applyFont="1" applyFill="1" applyBorder="1" applyAlignment="1">
      <alignment vertical="center"/>
    </xf>
    <xf numFmtId="171" fontId="30" fillId="12" borderId="38" xfId="1" applyNumberFormat="1" applyFont="1" applyFill="1" applyBorder="1" applyAlignment="1">
      <alignment vertical="center"/>
    </xf>
    <xf numFmtId="171" fontId="31" fillId="13" borderId="38" xfId="1" applyNumberFormat="1" applyFont="1" applyFill="1" applyBorder="1" applyAlignment="1">
      <alignment vertical="center"/>
    </xf>
    <xf numFmtId="0" fontId="32" fillId="0" borderId="3" xfId="0" applyFont="1" applyBorder="1" applyAlignment="1">
      <alignment horizontal="center"/>
    </xf>
    <xf numFmtId="0" fontId="32" fillId="2" borderId="3" xfId="0" applyFont="1" applyFill="1" applyBorder="1" applyAlignment="1">
      <alignment horizontal="left"/>
    </xf>
    <xf numFmtId="0" fontId="32" fillId="0" borderId="3" xfId="0" applyFont="1" applyBorder="1" applyAlignment="1">
      <alignment wrapText="1"/>
    </xf>
    <xf numFmtId="0" fontId="32" fillId="2" borderId="3" xfId="0" applyFont="1" applyFill="1" applyBorder="1" applyAlignment="1">
      <alignment wrapText="1"/>
    </xf>
    <xf numFmtId="171" fontId="32" fillId="7" borderId="29" xfId="1" applyNumberFormat="1" applyFont="1" applyFill="1" applyBorder="1" applyAlignment="1">
      <alignment vertical="center"/>
    </xf>
    <xf numFmtId="171" fontId="32" fillId="10" borderId="3" xfId="1" applyNumberFormat="1" applyFont="1" applyFill="1" applyBorder="1" applyAlignment="1">
      <alignment vertical="center"/>
    </xf>
    <xf numFmtId="171" fontId="32" fillId="5" borderId="3" xfId="1" applyNumberFormat="1" applyFont="1" applyFill="1" applyBorder="1" applyAlignment="1">
      <alignment vertical="center"/>
    </xf>
    <xf numFmtId="171" fontId="32" fillId="3" borderId="3" xfId="1" applyNumberFormat="1" applyFont="1" applyFill="1" applyBorder="1" applyAlignment="1">
      <alignment vertical="center"/>
    </xf>
    <xf numFmtId="171" fontId="32" fillId="14" borderId="3" xfId="1" applyNumberFormat="1" applyFont="1" applyFill="1" applyBorder="1" applyAlignment="1">
      <alignment vertical="center"/>
    </xf>
    <xf numFmtId="171" fontId="32" fillId="0" borderId="33" xfId="1" applyNumberFormat="1" applyFont="1" applyFill="1" applyBorder="1" applyAlignment="1">
      <alignment vertical="center"/>
    </xf>
    <xf numFmtId="171" fontId="32" fillId="12" borderId="38" xfId="1" applyNumberFormat="1" applyFont="1" applyFill="1" applyBorder="1" applyAlignment="1">
      <alignment vertical="center"/>
    </xf>
    <xf numFmtId="171" fontId="42" fillId="13" borderId="38" xfId="1" applyNumberFormat="1" applyFont="1" applyFill="1" applyBorder="1" applyAlignment="1">
      <alignment vertical="center"/>
    </xf>
    <xf numFmtId="49" fontId="30" fillId="2" borderId="0" xfId="0" applyNumberFormat="1" applyFont="1" applyFill="1" applyAlignment="1">
      <alignment horizontal="center"/>
    </xf>
    <xf numFmtId="49" fontId="30" fillId="0" borderId="0" xfId="0" applyNumberFormat="1" applyFont="1" applyAlignment="1">
      <alignment horizontal="center"/>
    </xf>
    <xf numFmtId="0" fontId="32" fillId="2" borderId="0" xfId="0" applyFont="1" applyFill="1" applyAlignment="1">
      <alignment horizontal="center"/>
    </xf>
    <xf numFmtId="171" fontId="30" fillId="5" borderId="0" xfId="1" applyNumberFormat="1" applyFont="1" applyFill="1" applyBorder="1" applyAlignment="1">
      <alignment vertical="center"/>
    </xf>
    <xf numFmtId="171" fontId="30" fillId="3" borderId="0" xfId="1" applyNumberFormat="1" applyFont="1" applyFill="1" applyBorder="1" applyAlignment="1">
      <alignment vertical="center"/>
    </xf>
    <xf numFmtId="171" fontId="30" fillId="14" borderId="0" xfId="1" applyNumberFormat="1" applyFont="1" applyFill="1" applyBorder="1" applyAlignment="1">
      <alignment vertical="center"/>
    </xf>
    <xf numFmtId="0" fontId="30" fillId="0" borderId="0" xfId="0" quotePrefix="1" applyFont="1" applyAlignment="1">
      <alignment horizontal="left" wrapText="1"/>
    </xf>
    <xf numFmtId="37" fontId="32" fillId="5" borderId="4" xfId="1" applyNumberFormat="1" applyFont="1" applyFill="1" applyBorder="1" applyAlignment="1">
      <alignment vertical="center"/>
    </xf>
    <xf numFmtId="38" fontId="30" fillId="10" borderId="0" xfId="1" applyNumberFormat="1" applyFont="1" applyFill="1" applyBorder="1" applyAlignment="1">
      <alignment vertical="center"/>
    </xf>
    <xf numFmtId="0" fontId="30" fillId="0" borderId="3" xfId="0" applyFont="1" applyBorder="1" applyAlignment="1">
      <alignment wrapText="1"/>
    </xf>
    <xf numFmtId="0" fontId="30" fillId="0" borderId="3" xfId="0" applyFont="1" applyBorder="1" applyAlignment="1">
      <alignment horizontal="left" wrapText="1"/>
    </xf>
    <xf numFmtId="0" fontId="30" fillId="0" borderId="0" xfId="0" quotePrefix="1" applyFont="1" applyAlignment="1">
      <alignment horizontal="center"/>
    </xf>
    <xf numFmtId="171" fontId="30" fillId="7" borderId="28" xfId="1" applyNumberFormat="1" applyFont="1" applyFill="1" applyBorder="1" applyAlignment="1">
      <alignment vertical="center"/>
    </xf>
    <xf numFmtId="171" fontId="30" fillId="10" borderId="7" xfId="1" applyNumberFormat="1" applyFont="1" applyFill="1" applyBorder="1" applyAlignment="1">
      <alignment vertical="center"/>
    </xf>
    <xf numFmtId="171" fontId="30" fillId="5" borderId="7" xfId="1" applyNumberFormat="1" applyFont="1" applyFill="1" applyBorder="1" applyAlignment="1">
      <alignment vertical="center"/>
    </xf>
    <xf numFmtId="171" fontId="30" fillId="3" borderId="7" xfId="1" applyNumberFormat="1" applyFont="1" applyFill="1" applyBorder="1" applyAlignment="1">
      <alignment vertical="center"/>
    </xf>
    <xf numFmtId="171" fontId="30" fillId="14" borderId="7" xfId="1" applyNumberFormat="1" applyFont="1" applyFill="1" applyBorder="1" applyAlignment="1">
      <alignment vertical="center"/>
    </xf>
    <xf numFmtId="171" fontId="30" fillId="0" borderId="31" xfId="1" applyNumberFormat="1" applyFont="1" applyFill="1" applyBorder="1" applyAlignment="1">
      <alignment vertical="center"/>
    </xf>
    <xf numFmtId="171" fontId="30" fillId="12" borderId="37" xfId="1" applyNumberFormat="1" applyFont="1" applyFill="1" applyBorder="1" applyAlignment="1">
      <alignment vertical="center"/>
    </xf>
    <xf numFmtId="171" fontId="31" fillId="13" borderId="37" xfId="1" applyNumberFormat="1" applyFont="1" applyFill="1" applyBorder="1" applyAlignment="1">
      <alignment vertical="center"/>
    </xf>
    <xf numFmtId="0" fontId="32" fillId="2" borderId="3" xfId="0" applyFont="1" applyFill="1" applyBorder="1" applyAlignment="1">
      <alignment horizontal="center"/>
    </xf>
    <xf numFmtId="0" fontId="32" fillId="2" borderId="7" xfId="0" applyFont="1" applyFill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2" borderId="7" xfId="0" applyFont="1" applyFill="1" applyBorder="1" applyAlignment="1">
      <alignment horizontal="left"/>
    </xf>
    <xf numFmtId="0" fontId="30" fillId="2" borderId="7" xfId="0" applyFont="1" applyFill="1" applyBorder="1" applyAlignment="1">
      <alignment wrapText="1"/>
    </xf>
    <xf numFmtId="0" fontId="32" fillId="2" borderId="13" xfId="0" applyFont="1" applyFill="1" applyBorder="1" applyAlignment="1">
      <alignment horizontal="center"/>
    </xf>
    <xf numFmtId="0" fontId="32" fillId="0" borderId="4" xfId="0" applyFont="1" applyBorder="1" applyAlignment="1">
      <alignment horizontal="left" wrapText="1"/>
    </xf>
    <xf numFmtId="171" fontId="32" fillId="10" borderId="0" xfId="1" applyNumberFormat="1" applyFont="1" applyFill="1" applyBorder="1" applyAlignment="1">
      <alignment vertical="center"/>
    </xf>
    <xf numFmtId="171" fontId="32" fillId="5" borderId="0" xfId="1" applyNumberFormat="1" applyFont="1" applyFill="1" applyBorder="1" applyAlignment="1">
      <alignment vertical="center"/>
    </xf>
    <xf numFmtId="171" fontId="32" fillId="3" borderId="0" xfId="1" applyNumberFormat="1" applyFont="1" applyFill="1" applyBorder="1" applyAlignment="1">
      <alignment vertical="center"/>
    </xf>
    <xf numFmtId="171" fontId="32" fillId="14" borderId="0" xfId="1" applyNumberFormat="1" applyFont="1" applyFill="1" applyBorder="1" applyAlignment="1">
      <alignment vertical="center"/>
    </xf>
    <xf numFmtId="171" fontId="32" fillId="0" borderId="32" xfId="1" applyNumberFormat="1" applyFont="1" applyFill="1" applyBorder="1" applyAlignment="1">
      <alignment vertical="center"/>
    </xf>
    <xf numFmtId="171" fontId="32" fillId="12" borderId="35" xfId="1" applyNumberFormat="1" applyFont="1" applyFill="1" applyBorder="1" applyAlignment="1">
      <alignment vertical="center"/>
    </xf>
    <xf numFmtId="171" fontId="42" fillId="13" borderId="35" xfId="1" applyNumberFormat="1" applyFont="1" applyFill="1" applyBorder="1" applyAlignment="1">
      <alignment vertical="center"/>
    </xf>
    <xf numFmtId="0" fontId="32" fillId="0" borderId="0" xfId="0" applyFont="1" applyAlignment="1">
      <alignment horizontal="left"/>
    </xf>
    <xf numFmtId="0" fontId="32" fillId="2" borderId="0" xfId="0" applyFont="1" applyFill="1" applyAlignment="1">
      <alignment wrapText="1"/>
    </xf>
    <xf numFmtId="171" fontId="32" fillId="7" borderId="26" xfId="1" applyNumberFormat="1" applyFont="1" applyFill="1" applyBorder="1" applyAlignment="1">
      <alignment vertical="center"/>
    </xf>
    <xf numFmtId="41" fontId="32" fillId="7" borderId="26" xfId="1" applyNumberFormat="1" applyFont="1" applyFill="1" applyBorder="1" applyAlignment="1">
      <alignment horizontal="right" vertical="center"/>
    </xf>
    <xf numFmtId="41" fontId="32" fillId="10" borderId="0" xfId="1" applyNumberFormat="1" applyFont="1" applyFill="1" applyBorder="1" applyAlignment="1">
      <alignment horizontal="right" vertical="center"/>
    </xf>
    <xf numFmtId="41" fontId="32" fillId="5" borderId="0" xfId="1" applyNumberFormat="1" applyFont="1" applyFill="1" applyBorder="1" applyAlignment="1">
      <alignment horizontal="right" vertical="center"/>
    </xf>
    <xf numFmtId="41" fontId="32" fillId="3" borderId="0" xfId="1" applyNumberFormat="1" applyFont="1" applyFill="1" applyBorder="1" applyAlignment="1">
      <alignment horizontal="right" vertical="center"/>
    </xf>
    <xf numFmtId="41" fontId="32" fillId="14" borderId="0" xfId="1" applyNumberFormat="1" applyFont="1" applyFill="1" applyBorder="1" applyAlignment="1">
      <alignment horizontal="right" vertical="center"/>
    </xf>
    <xf numFmtId="41" fontId="32" fillId="0" borderId="32" xfId="1" applyNumberFormat="1" applyFont="1" applyFill="1" applyBorder="1" applyAlignment="1">
      <alignment horizontal="right" vertical="center"/>
    </xf>
    <xf numFmtId="41" fontId="32" fillId="12" borderId="35" xfId="1" applyNumberFormat="1" applyFont="1" applyFill="1" applyBorder="1" applyAlignment="1">
      <alignment horizontal="right" vertical="center"/>
    </xf>
    <xf numFmtId="41" fontId="42" fillId="13" borderId="35" xfId="1" applyNumberFormat="1" applyFont="1" applyFill="1" applyBorder="1" applyAlignment="1">
      <alignment horizontal="right" vertical="center"/>
    </xf>
    <xf numFmtId="0" fontId="32" fillId="0" borderId="0" xfId="0" applyFont="1"/>
    <xf numFmtId="41" fontId="32" fillId="7" borderId="21" xfId="1" applyNumberFormat="1" applyFont="1" applyFill="1" applyBorder="1" applyAlignment="1">
      <alignment horizontal="right" vertical="center"/>
    </xf>
    <xf numFmtId="41" fontId="32" fillId="10" borderId="22" xfId="1" applyNumberFormat="1" applyFont="1" applyFill="1" applyBorder="1" applyAlignment="1">
      <alignment horizontal="right" vertical="center"/>
    </xf>
    <xf numFmtId="41" fontId="32" fillId="0" borderId="33" xfId="1" applyNumberFormat="1" applyFont="1" applyFill="1" applyBorder="1" applyAlignment="1">
      <alignment horizontal="right" vertical="center"/>
    </xf>
    <xf numFmtId="41" fontId="32" fillId="12" borderId="39" xfId="1" applyNumberFormat="1" applyFont="1" applyFill="1" applyBorder="1" applyAlignment="1">
      <alignment horizontal="right" vertical="center"/>
    </xf>
    <xf numFmtId="41" fontId="42" fillId="13" borderId="39" xfId="1" applyNumberFormat="1" applyFont="1" applyFill="1" applyBorder="1" applyAlignment="1">
      <alignment horizontal="right" vertical="center"/>
    </xf>
    <xf numFmtId="171" fontId="30" fillId="0" borderId="0" xfId="1" applyNumberFormat="1" applyFont="1" applyFill="1"/>
    <xf numFmtId="171" fontId="30" fillId="0" borderId="0" xfId="1" applyNumberFormat="1" applyFont="1" applyFill="1" applyBorder="1"/>
    <xf numFmtId="0" fontId="35" fillId="0" borderId="0" xfId="0" applyFont="1"/>
    <xf numFmtId="0" fontId="35" fillId="2" borderId="0" xfId="0" applyFont="1" applyFill="1" applyAlignment="1">
      <alignment wrapText="1"/>
    </xf>
    <xf numFmtId="0" fontId="31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30" fillId="2" borderId="3" xfId="0" applyFont="1" applyFill="1" applyBorder="1" applyAlignment="1">
      <alignment horizontal="center"/>
    </xf>
    <xf numFmtId="0" fontId="44" fillId="0" borderId="3" xfId="0" applyFont="1" applyBorder="1" applyAlignment="1">
      <alignment wrapText="1"/>
    </xf>
    <xf numFmtId="171" fontId="30" fillId="7" borderId="29" xfId="1" applyNumberFormat="1" applyFont="1" applyFill="1" applyBorder="1" applyAlignment="1">
      <alignment horizontal="right" vertical="center"/>
    </xf>
    <xf numFmtId="171" fontId="30" fillId="10" borderId="3" xfId="1" applyNumberFormat="1" applyFont="1" applyFill="1" applyBorder="1" applyAlignment="1">
      <alignment horizontal="right" vertical="center"/>
    </xf>
    <xf numFmtId="171" fontId="30" fillId="5" borderId="3" xfId="1" applyNumberFormat="1" applyFont="1" applyFill="1" applyBorder="1" applyAlignment="1">
      <alignment horizontal="right" vertical="center"/>
    </xf>
    <xf numFmtId="171" fontId="30" fillId="3" borderId="3" xfId="1" applyNumberFormat="1" applyFont="1" applyFill="1" applyBorder="1" applyAlignment="1">
      <alignment horizontal="right" vertical="center"/>
    </xf>
    <xf numFmtId="171" fontId="30" fillId="14" borderId="3" xfId="1" applyNumberFormat="1" applyFont="1" applyFill="1" applyBorder="1" applyAlignment="1">
      <alignment horizontal="right" vertical="center"/>
    </xf>
    <xf numFmtId="171" fontId="30" fillId="0" borderId="33" xfId="1" applyNumberFormat="1" applyFont="1" applyFill="1" applyBorder="1" applyAlignment="1">
      <alignment horizontal="right" vertical="center"/>
    </xf>
    <xf numFmtId="171" fontId="30" fillId="12" borderId="38" xfId="1" applyNumberFormat="1" applyFont="1" applyFill="1" applyBorder="1" applyAlignment="1">
      <alignment horizontal="right" vertical="center"/>
    </xf>
    <xf numFmtId="171" fontId="31" fillId="13" borderId="38" xfId="1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top"/>
    </xf>
    <xf numFmtId="166" fontId="35" fillId="0" borderId="0" xfId="1" applyFont="1" applyFill="1"/>
    <xf numFmtId="0" fontId="35" fillId="0" borderId="0" xfId="0" applyFont="1" applyAlignment="1">
      <alignment wrapText="1"/>
    </xf>
    <xf numFmtId="171" fontId="45" fillId="12" borderId="35" xfId="1" applyNumberFormat="1" applyFont="1" applyFill="1" applyBorder="1" applyAlignment="1">
      <alignment horizontal="center" wrapText="1"/>
    </xf>
    <xf numFmtId="171" fontId="46" fillId="13" borderId="35" xfId="1" applyNumberFormat="1" applyFont="1" applyFill="1" applyBorder="1" applyAlignment="1">
      <alignment horizontal="center" wrapText="1"/>
    </xf>
    <xf numFmtId="0" fontId="47" fillId="2" borderId="7" xfId="0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/>
    </xf>
    <xf numFmtId="0" fontId="0" fillId="0" borderId="14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6" borderId="14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22" fillId="0" borderId="0" xfId="4" applyFont="1" applyAlignment="1">
      <alignment horizontal="center"/>
    </xf>
    <xf numFmtId="0" fontId="20" fillId="0" borderId="0" xfId="4"/>
    <xf numFmtId="0" fontId="26" fillId="0" borderId="0" xfId="4" applyFont="1" applyAlignment="1">
      <alignment horizontal="center"/>
    </xf>
    <xf numFmtId="0" fontId="25" fillId="0" borderId="0" xfId="4" applyFont="1" applyAlignment="1">
      <alignment horizontal="center"/>
    </xf>
    <xf numFmtId="0" fontId="3" fillId="3" borderId="0" xfId="0" applyFont="1" applyFill="1" applyAlignment="1">
      <alignment horizontal="left"/>
    </xf>
    <xf numFmtId="166" fontId="0" fillId="0" borderId="31" xfId="1" applyFont="1" applyBorder="1" applyAlignment="1">
      <alignment vertical="center" wrapText="1"/>
    </xf>
    <xf numFmtId="166" fontId="0" fillId="0" borderId="33" xfId="1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3" fillId="3" borderId="0" xfId="0" applyFont="1" applyFill="1"/>
    <xf numFmtId="39" fontId="3" fillId="0" borderId="14" xfId="0" applyNumberFormat="1" applyFont="1" applyBorder="1" applyAlignment="1">
      <alignment horizontal="center" wrapText="1"/>
    </xf>
    <xf numFmtId="39" fontId="3" fillId="0" borderId="16" xfId="0" applyNumberFormat="1" applyFont="1" applyBorder="1" applyAlignment="1">
      <alignment horizontal="center" wrapText="1"/>
    </xf>
    <xf numFmtId="39" fontId="3" fillId="0" borderId="15" xfId="0" applyNumberFormat="1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8" fillId="0" borderId="6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39" fontId="3" fillId="0" borderId="14" xfId="0" applyNumberFormat="1" applyFont="1" applyBorder="1" applyAlignment="1">
      <alignment horizontal="center"/>
    </xf>
    <xf numFmtId="39" fontId="3" fillId="0" borderId="16" xfId="0" applyNumberFormat="1" applyFont="1" applyBorder="1" applyAlignment="1">
      <alignment horizontal="center"/>
    </xf>
    <xf numFmtId="39" fontId="3" fillId="0" borderId="15" xfId="0" applyNumberFormat="1" applyFont="1" applyBorder="1" applyAlignment="1">
      <alignment horizontal="center"/>
    </xf>
    <xf numFmtId="0" fontId="0" fillId="0" borderId="14" xfId="0" applyBorder="1" applyAlignment="1">
      <alignment horizontal="center" wrapText="1"/>
    </xf>
  </cellXfs>
  <cellStyles count="6">
    <cellStyle name="Comma" xfId="1" builtinId="3"/>
    <cellStyle name="Comma 2" xfId="5" xr:uid="{7B4F7096-9256-4F83-A157-47EADD8D655F}"/>
    <cellStyle name="Currency" xfId="2" builtinId="4"/>
    <cellStyle name="Normal" xfId="0" builtinId="0"/>
    <cellStyle name="Normal 2" xfId="4" xr:uid="{31EACED2-ACF1-420F-8025-F440B5F60D24}"/>
    <cellStyle name="Percent" xfId="3" builtinId="5"/>
  </cellStyles>
  <dxfs count="0"/>
  <tableStyles count="0" defaultTableStyle="TableStyleMedium2" defaultPivotStyle="PivotStyleLight16"/>
  <colors>
    <mruColors>
      <color rgb="FFCCCCFF"/>
      <color rgb="FFCC99FF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5</xdr:col>
      <xdr:colOff>657225</xdr:colOff>
      <xdr:row>43</xdr:row>
      <xdr:rowOff>170000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B961FD-3015-1FA0-37DD-370FAC6DB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3390900"/>
          <a:ext cx="6334125" cy="396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F2807-5658-4EA1-8B2C-4DF1EC9DDA83}">
  <sheetPr>
    <pageSetUpPr fitToPage="1"/>
  </sheetPr>
  <dimension ref="A1:Q125"/>
  <sheetViews>
    <sheetView showGridLines="0" tabSelected="1" zoomScale="110" zoomScaleNormal="110" zoomScaleSheetLayoutView="140" zoomScalePageLayoutView="70" workbookViewId="0">
      <selection activeCell="A34" sqref="A34:A36"/>
    </sheetView>
  </sheetViews>
  <sheetFormatPr defaultColWidth="16.06640625" defaultRowHeight="11.65" outlineLevelCol="1" x14ac:dyDescent="0.35"/>
  <cols>
    <col min="1" max="2" width="16.06640625" style="418"/>
    <col min="3" max="3" width="16.06640625" style="324"/>
    <col min="4" max="5" width="16.06640625" style="434"/>
    <col min="6" max="6" width="16.06640625" style="416" hidden="1" customWidth="1" outlineLevel="1"/>
    <col min="7" max="7" width="16.06640625" style="417" hidden="1" customWidth="1" outlineLevel="1"/>
    <col min="8" max="10" width="16.06640625" style="416" hidden="1" customWidth="1" outlineLevel="1"/>
    <col min="11" max="11" width="16.06640625" style="416" collapsed="1"/>
    <col min="12" max="13" width="16.06640625" style="416"/>
    <col min="14" max="14" width="16.06640625" style="267"/>
    <col min="15" max="15" width="16.06640625" style="267" hidden="1" customWidth="1"/>
    <col min="16" max="16" width="16.06640625" style="220" hidden="1" customWidth="1"/>
    <col min="17" max="22" width="16.06640625" style="418" customWidth="1"/>
    <col min="23" max="16384" width="16.06640625" style="418"/>
  </cols>
  <sheetData>
    <row r="1" spans="1:16" ht="12" thickTop="1" x14ac:dyDescent="0.35">
      <c r="C1" s="210"/>
      <c r="D1" s="419"/>
      <c r="E1" s="419"/>
      <c r="F1" s="211"/>
      <c r="G1" s="212"/>
      <c r="H1" s="213"/>
      <c r="I1" s="214"/>
      <c r="J1" s="215"/>
      <c r="K1" s="216"/>
      <c r="L1" s="217"/>
      <c r="M1" s="217"/>
      <c r="N1" s="218"/>
      <c r="O1" s="219"/>
    </row>
    <row r="2" spans="1:16" ht="23.25" x14ac:dyDescent="0.35">
      <c r="A2" s="420" t="s">
        <v>774</v>
      </c>
      <c r="B2" s="221"/>
      <c r="C2" s="210"/>
      <c r="D2" s="222"/>
      <c r="E2" s="222"/>
      <c r="F2" s="223" t="s">
        <v>363</v>
      </c>
      <c r="G2" s="224" t="s">
        <v>363</v>
      </c>
      <c r="H2" s="225" t="s">
        <v>363</v>
      </c>
      <c r="I2" s="226" t="s">
        <v>363</v>
      </c>
      <c r="J2" s="227" t="s">
        <v>363</v>
      </c>
      <c r="K2" s="228" t="s">
        <v>363</v>
      </c>
      <c r="L2" s="435" t="s">
        <v>344</v>
      </c>
      <c r="M2" s="435" t="s">
        <v>344</v>
      </c>
      <c r="N2" s="436" t="s">
        <v>465</v>
      </c>
      <c r="O2" s="229"/>
    </row>
    <row r="3" spans="1:16" x14ac:dyDescent="0.35">
      <c r="A3" s="230"/>
      <c r="B3" s="221"/>
      <c r="C3" s="210"/>
      <c r="D3" s="222"/>
      <c r="E3" s="222"/>
      <c r="F3" s="231"/>
      <c r="G3" s="232"/>
      <c r="H3" s="233"/>
      <c r="I3" s="234"/>
      <c r="J3" s="235"/>
      <c r="K3" s="236"/>
      <c r="L3" s="237"/>
      <c r="M3" s="237"/>
      <c r="N3" s="238"/>
      <c r="O3" s="239" t="s">
        <v>468</v>
      </c>
    </row>
    <row r="4" spans="1:16" x14ac:dyDescent="0.35">
      <c r="B4" s="221"/>
      <c r="C4" s="210"/>
      <c r="D4" s="240" t="s">
        <v>554</v>
      </c>
      <c r="E4" s="222"/>
      <c r="F4" s="241" t="s">
        <v>1</v>
      </c>
      <c r="G4" s="242" t="s">
        <v>1</v>
      </c>
      <c r="H4" s="243" t="s">
        <v>1</v>
      </c>
      <c r="I4" s="244" t="s">
        <v>1</v>
      </c>
      <c r="J4" s="245" t="s">
        <v>1</v>
      </c>
      <c r="K4" s="246" t="s">
        <v>367</v>
      </c>
      <c r="L4" s="247" t="s">
        <v>0</v>
      </c>
      <c r="M4" s="247" t="s">
        <v>0</v>
      </c>
      <c r="N4" s="248" t="s">
        <v>0</v>
      </c>
      <c r="O4" s="249" t="s">
        <v>467</v>
      </c>
    </row>
    <row r="5" spans="1:16" ht="34.9" x14ac:dyDescent="0.35">
      <c r="B5" s="250"/>
      <c r="C5" s="210"/>
      <c r="D5" s="240" t="s">
        <v>555</v>
      </c>
      <c r="E5" s="222"/>
      <c r="F5" s="241" t="s">
        <v>2</v>
      </c>
      <c r="G5" s="242" t="s">
        <v>2</v>
      </c>
      <c r="H5" s="243" t="s">
        <v>2</v>
      </c>
      <c r="I5" s="244" t="s">
        <v>2</v>
      </c>
      <c r="J5" s="245" t="s">
        <v>2</v>
      </c>
      <c r="K5" s="246" t="s">
        <v>369</v>
      </c>
      <c r="L5" s="247" t="s">
        <v>3</v>
      </c>
      <c r="M5" s="247" t="s">
        <v>3</v>
      </c>
      <c r="N5" s="248" t="s">
        <v>3</v>
      </c>
      <c r="O5" s="220" t="s">
        <v>763</v>
      </c>
      <c r="P5" s="220" t="s">
        <v>766</v>
      </c>
    </row>
    <row r="6" spans="1:16" x14ac:dyDescent="0.35">
      <c r="A6" s="251"/>
      <c r="B6" s="250"/>
      <c r="C6" s="210"/>
      <c r="D6" s="222"/>
      <c r="E6" s="222"/>
      <c r="F6" s="252" t="s">
        <v>362</v>
      </c>
      <c r="G6" s="253" t="s">
        <v>364</v>
      </c>
      <c r="H6" s="254" t="s">
        <v>365</v>
      </c>
      <c r="I6" s="255" t="s">
        <v>366</v>
      </c>
      <c r="J6" s="256" t="s">
        <v>368</v>
      </c>
      <c r="K6" s="257" t="s">
        <v>370</v>
      </c>
      <c r="L6" s="258">
        <v>2025</v>
      </c>
      <c r="M6" s="258">
        <v>2026</v>
      </c>
      <c r="N6" s="259">
        <v>2024</v>
      </c>
      <c r="O6" s="260"/>
    </row>
    <row r="7" spans="1:16" x14ac:dyDescent="0.35">
      <c r="A7" s="251"/>
      <c r="B7" s="250"/>
      <c r="C7" s="210"/>
      <c r="D7" s="261"/>
      <c r="E7" s="262"/>
      <c r="F7" s="263"/>
      <c r="G7" s="242"/>
      <c r="H7" s="264"/>
      <c r="I7" s="244"/>
      <c r="J7" s="245"/>
      <c r="K7" s="246"/>
      <c r="L7" s="265"/>
      <c r="M7" s="265"/>
      <c r="N7" s="266"/>
    </row>
    <row r="8" spans="1:16" ht="24.75" x14ac:dyDescent="0.35">
      <c r="A8" s="421" t="s">
        <v>773</v>
      </c>
      <c r="B8" s="269"/>
      <c r="C8" s="268"/>
      <c r="D8" s="270"/>
      <c r="E8" s="271"/>
      <c r="F8" s="272"/>
      <c r="G8" s="273"/>
      <c r="H8" s="213"/>
      <c r="I8" s="214"/>
      <c r="J8" s="215"/>
      <c r="K8" s="274"/>
      <c r="L8" s="265"/>
      <c r="M8" s="265"/>
      <c r="N8" s="275"/>
      <c r="O8" s="276"/>
    </row>
    <row r="9" spans="1:16" ht="12" thickBot="1" x14ac:dyDescent="0.4">
      <c r="A9" s="251"/>
      <c r="B9" s="250"/>
      <c r="C9" s="210"/>
      <c r="D9" s="222"/>
      <c r="E9" s="222"/>
      <c r="F9" s="272"/>
      <c r="G9" s="273"/>
      <c r="H9" s="213"/>
      <c r="I9" s="214"/>
      <c r="J9" s="215"/>
      <c r="K9" s="274"/>
      <c r="L9" s="277"/>
      <c r="M9" s="277"/>
      <c r="N9" s="278"/>
      <c r="O9" s="219"/>
    </row>
    <row r="10" spans="1:16" ht="12" thickBot="1" x14ac:dyDescent="0.4">
      <c r="A10" s="279">
        <v>1</v>
      </c>
      <c r="B10" s="280"/>
      <c r="C10" s="281"/>
      <c r="D10" s="282" t="s">
        <v>7</v>
      </c>
      <c r="E10" s="282" t="s">
        <v>477</v>
      </c>
      <c r="F10" s="283">
        <v>16477284.260000002</v>
      </c>
      <c r="G10" s="284">
        <v>12337212.969999999</v>
      </c>
      <c r="H10" s="285">
        <v>12657834.579999998</v>
      </c>
      <c r="I10" s="286">
        <v>12374540.199999999</v>
      </c>
      <c r="J10" s="287">
        <v>17042638.210000001</v>
      </c>
      <c r="K10" s="288">
        <v>16516714.029999997</v>
      </c>
      <c r="L10" s="289">
        <v>16032000</v>
      </c>
      <c r="M10" s="289">
        <v>15470000</v>
      </c>
      <c r="N10" s="290">
        <v>14875000</v>
      </c>
      <c r="O10" s="239" t="s">
        <v>468</v>
      </c>
      <c r="P10" s="291">
        <v>7.7781512605042069E-2</v>
      </c>
    </row>
    <row r="11" spans="1:16" x14ac:dyDescent="0.35">
      <c r="A11" s="251"/>
      <c r="B11" s="250">
        <v>1.1000000000000001</v>
      </c>
      <c r="C11" s="210"/>
      <c r="D11" s="222" t="s">
        <v>8</v>
      </c>
      <c r="E11" s="222" t="s">
        <v>433</v>
      </c>
      <c r="F11" s="292">
        <v>820.8</v>
      </c>
      <c r="G11" s="293">
        <v>6964283.1399999997</v>
      </c>
      <c r="H11" s="294">
        <v>11423759.449999999</v>
      </c>
      <c r="I11" s="295">
        <v>12598553.800000001</v>
      </c>
      <c r="J11" s="296">
        <v>13958114.289999999</v>
      </c>
      <c r="K11" s="297">
        <v>14906803.919999998</v>
      </c>
      <c r="L11" s="298">
        <v>15552000</v>
      </c>
      <c r="M11" s="298">
        <v>14976000</v>
      </c>
      <c r="N11" s="299">
        <v>14400000</v>
      </c>
      <c r="O11" s="249"/>
      <c r="P11" s="291">
        <v>8.0000000000000071E-2</v>
      </c>
    </row>
    <row r="12" spans="1:16" ht="23.25" x14ac:dyDescent="0.35">
      <c r="A12" s="251"/>
      <c r="B12" s="250">
        <v>1.2</v>
      </c>
      <c r="C12" s="210"/>
      <c r="D12" s="300" t="s">
        <v>9</v>
      </c>
      <c r="E12" s="301" t="s">
        <v>478</v>
      </c>
      <c r="F12" s="302">
        <v>16006683.26</v>
      </c>
      <c r="G12" s="303">
        <v>4238466.49</v>
      </c>
      <c r="H12" s="304">
        <v>868203.74</v>
      </c>
      <c r="I12" s="305">
        <v>760456.2</v>
      </c>
      <c r="J12" s="306">
        <v>1320103.74</v>
      </c>
      <c r="K12" s="307">
        <v>698596.44</v>
      </c>
      <c r="L12" s="308"/>
      <c r="M12" s="308"/>
      <c r="N12" s="309">
        <v>0</v>
      </c>
      <c r="O12" s="239"/>
      <c r="P12" s="291"/>
    </row>
    <row r="13" spans="1:16" ht="23.25" x14ac:dyDescent="0.35">
      <c r="A13" s="251"/>
      <c r="B13" s="250">
        <v>1.3</v>
      </c>
      <c r="C13" s="210"/>
      <c r="D13" s="300" t="s">
        <v>10</v>
      </c>
      <c r="E13" s="222" t="s">
        <v>479</v>
      </c>
      <c r="F13" s="302">
        <v>467909.65</v>
      </c>
      <c r="G13" s="310">
        <v>675760.74</v>
      </c>
      <c r="H13" s="304">
        <v>363007.19</v>
      </c>
      <c r="I13" s="311">
        <v>-993281.8</v>
      </c>
      <c r="J13" s="312">
        <v>1299419.31</v>
      </c>
      <c r="K13" s="307">
        <v>911313.66999999993</v>
      </c>
      <c r="L13" s="308">
        <v>480000</v>
      </c>
      <c r="M13" s="308">
        <v>494000</v>
      </c>
      <c r="N13" s="309">
        <v>475000</v>
      </c>
      <c r="O13" s="249" t="s">
        <v>468</v>
      </c>
      <c r="P13" s="291">
        <v>1.0526315789473717E-2</v>
      </c>
    </row>
    <row r="14" spans="1:16" ht="34.9" x14ac:dyDescent="0.35">
      <c r="A14" s="251"/>
      <c r="B14" s="250">
        <v>1.4</v>
      </c>
      <c r="C14" s="210"/>
      <c r="D14" s="222" t="s">
        <v>11</v>
      </c>
      <c r="E14" s="313" t="s">
        <v>480</v>
      </c>
      <c r="F14" s="302">
        <v>1870.55</v>
      </c>
      <c r="G14" s="303">
        <v>458702.6</v>
      </c>
      <c r="H14" s="304">
        <v>2864.2</v>
      </c>
      <c r="I14" s="305">
        <v>8812</v>
      </c>
      <c r="J14" s="306">
        <v>10000.870000000001</v>
      </c>
      <c r="K14" s="307"/>
      <c r="L14" s="308"/>
      <c r="M14" s="308"/>
      <c r="N14" s="309">
        <v>0</v>
      </c>
      <c r="O14" s="239"/>
      <c r="P14" s="291"/>
    </row>
    <row r="15" spans="1:16" ht="12" thickBot="1" x14ac:dyDescent="0.4">
      <c r="A15" s="422"/>
      <c r="B15" s="328">
        <v>1.5</v>
      </c>
      <c r="C15" s="329"/>
      <c r="D15" s="344" t="s">
        <v>12</v>
      </c>
      <c r="E15" s="423" t="s">
        <v>443</v>
      </c>
      <c r="F15" s="424"/>
      <c r="G15" s="425"/>
      <c r="H15" s="426"/>
      <c r="I15" s="427"/>
      <c r="J15" s="428">
        <v>455000</v>
      </c>
      <c r="K15" s="429"/>
      <c r="L15" s="430"/>
      <c r="M15" s="430"/>
      <c r="N15" s="431"/>
      <c r="O15" s="249"/>
      <c r="P15" s="291"/>
    </row>
    <row r="16" spans="1:16" ht="23.65" thickBot="1" x14ac:dyDescent="0.4">
      <c r="A16" s="279">
        <v>2</v>
      </c>
      <c r="B16" s="280"/>
      <c r="C16" s="281"/>
      <c r="D16" s="314" t="s">
        <v>13</v>
      </c>
      <c r="E16" s="315" t="s">
        <v>14</v>
      </c>
      <c r="F16" s="283">
        <v>6839616.2599999998</v>
      </c>
      <c r="G16" s="284">
        <v>4029172.8499999996</v>
      </c>
      <c r="H16" s="285">
        <v>5317002.66</v>
      </c>
      <c r="I16" s="286">
        <v>6969906.7400000002</v>
      </c>
      <c r="J16" s="287">
        <v>8479318.6000000015</v>
      </c>
      <c r="K16" s="288">
        <v>9796299.2799999993</v>
      </c>
      <c r="L16" s="289">
        <v>10891351.800000001</v>
      </c>
      <c r="M16" s="289">
        <v>11098326.9</v>
      </c>
      <c r="N16" s="290">
        <v>10081110</v>
      </c>
      <c r="O16" s="239" t="s">
        <v>468</v>
      </c>
      <c r="P16" s="291">
        <v>8.037228043340483E-2</v>
      </c>
    </row>
    <row r="17" spans="1:16" ht="23.25" x14ac:dyDescent="0.35">
      <c r="A17" s="251"/>
      <c r="B17" s="250">
        <v>2.1</v>
      </c>
      <c r="C17" s="210"/>
      <c r="D17" s="222" t="s">
        <v>638</v>
      </c>
      <c r="E17" s="222" t="s">
        <v>640</v>
      </c>
      <c r="F17" s="292">
        <v>1445515</v>
      </c>
      <c r="G17" s="293">
        <v>953606</v>
      </c>
      <c r="H17" s="294">
        <v>1328280</v>
      </c>
      <c r="I17" s="295">
        <v>1890227</v>
      </c>
      <c r="J17" s="296">
        <v>1639965.36</v>
      </c>
      <c r="K17" s="297">
        <v>1820335</v>
      </c>
      <c r="L17" s="298">
        <v>1950000</v>
      </c>
      <c r="M17" s="298">
        <v>1990000</v>
      </c>
      <c r="N17" s="299">
        <v>1820000.0399999998</v>
      </c>
      <c r="O17" s="249" t="s">
        <v>468</v>
      </c>
      <c r="P17" s="291">
        <v>7.1428547880691307E-2</v>
      </c>
    </row>
    <row r="18" spans="1:16" ht="23.25" x14ac:dyDescent="0.35">
      <c r="A18" s="251"/>
      <c r="B18" s="250">
        <v>2.2000000000000002</v>
      </c>
      <c r="C18" s="316"/>
      <c r="D18" s="222" t="s">
        <v>639</v>
      </c>
      <c r="E18" s="222" t="s">
        <v>641</v>
      </c>
      <c r="F18" s="292">
        <v>4365512.2</v>
      </c>
      <c r="G18" s="293">
        <v>1919638.27</v>
      </c>
      <c r="H18" s="294">
        <v>2862360.78</v>
      </c>
      <c r="I18" s="295">
        <v>3624552.93</v>
      </c>
      <c r="J18" s="296">
        <v>5109923.82</v>
      </c>
      <c r="K18" s="297">
        <v>5961000</v>
      </c>
      <c r="L18" s="298">
        <v>6320000</v>
      </c>
      <c r="M18" s="298">
        <v>6450000</v>
      </c>
      <c r="N18" s="299">
        <v>5400000</v>
      </c>
      <c r="O18" s="239" t="s">
        <v>468</v>
      </c>
      <c r="P18" s="291">
        <v>0.17037037037037028</v>
      </c>
    </row>
    <row r="19" spans="1:16" x14ac:dyDescent="0.35">
      <c r="A19" s="251"/>
      <c r="B19" s="250">
        <v>2.2999999999999998</v>
      </c>
      <c r="C19" s="317"/>
      <c r="D19" s="222" t="s">
        <v>15</v>
      </c>
      <c r="E19" s="222" t="s">
        <v>444</v>
      </c>
      <c r="F19" s="292">
        <v>513641.83</v>
      </c>
      <c r="G19" s="293">
        <v>548351.47</v>
      </c>
      <c r="H19" s="294">
        <v>494582.84</v>
      </c>
      <c r="I19" s="295">
        <v>866038.45</v>
      </c>
      <c r="J19" s="296">
        <v>908634.11</v>
      </c>
      <c r="K19" s="297">
        <v>1192730</v>
      </c>
      <c r="L19" s="298">
        <v>1250000</v>
      </c>
      <c r="M19" s="298">
        <v>1270000</v>
      </c>
      <c r="N19" s="299">
        <v>1149999.96</v>
      </c>
      <c r="O19" s="249" t="s">
        <v>468</v>
      </c>
      <c r="P19" s="291">
        <v>8.6956559546315093E-2</v>
      </c>
    </row>
    <row r="20" spans="1:16" x14ac:dyDescent="0.35">
      <c r="A20" s="251"/>
      <c r="B20" s="250">
        <v>2.4</v>
      </c>
      <c r="C20" s="210"/>
      <c r="D20" s="222" t="s">
        <v>16</v>
      </c>
      <c r="E20" s="222" t="s">
        <v>445</v>
      </c>
      <c r="F20" s="292">
        <v>231971.62</v>
      </c>
      <c r="G20" s="293">
        <v>293530.59000000003</v>
      </c>
      <c r="H20" s="294">
        <v>312390.2</v>
      </c>
      <c r="I20" s="295">
        <v>323468.78000000003</v>
      </c>
      <c r="J20" s="296">
        <v>385639.1</v>
      </c>
      <c r="K20" s="297">
        <v>480000</v>
      </c>
      <c r="L20" s="298">
        <v>660000</v>
      </c>
      <c r="M20" s="298">
        <v>670000</v>
      </c>
      <c r="N20" s="299">
        <v>480000</v>
      </c>
      <c r="O20" s="239" t="s">
        <v>468</v>
      </c>
      <c r="P20" s="291">
        <v>0.375</v>
      </c>
    </row>
    <row r="21" spans="1:16" ht="34.9" x14ac:dyDescent="0.35">
      <c r="A21" s="251"/>
      <c r="B21" s="250">
        <v>2.5</v>
      </c>
      <c r="C21" s="210"/>
      <c r="D21" s="222" t="s">
        <v>17</v>
      </c>
      <c r="E21" s="222" t="s">
        <v>481</v>
      </c>
      <c r="F21" s="292">
        <v>46098.35</v>
      </c>
      <c r="G21" s="293">
        <v>285749.87</v>
      </c>
      <c r="H21" s="294">
        <v>292028</v>
      </c>
      <c r="I21" s="295">
        <v>73587.179999999993</v>
      </c>
      <c r="J21" s="296">
        <v>272712.83</v>
      </c>
      <c r="K21" s="297">
        <v>42578</v>
      </c>
      <c r="L21" s="298">
        <v>350000</v>
      </c>
      <c r="M21" s="298">
        <v>350000</v>
      </c>
      <c r="N21" s="299">
        <v>470000.03999999986</v>
      </c>
      <c r="O21" s="249" t="s">
        <v>467</v>
      </c>
      <c r="P21" s="291">
        <v>-0.25531921231325827</v>
      </c>
    </row>
    <row r="22" spans="1:16" ht="23.25" x14ac:dyDescent="0.35">
      <c r="A22" s="251"/>
      <c r="B22" s="250">
        <v>2.6</v>
      </c>
      <c r="C22" s="210"/>
      <c r="D22" s="222" t="s">
        <v>18</v>
      </c>
      <c r="E22" s="222" t="s">
        <v>19</v>
      </c>
      <c r="F22" s="292">
        <v>236877.2</v>
      </c>
      <c r="G22" s="293">
        <v>28296.55</v>
      </c>
      <c r="H22" s="294">
        <v>27361.21</v>
      </c>
      <c r="I22" s="295">
        <v>192032.57</v>
      </c>
      <c r="J22" s="296">
        <v>162443.38</v>
      </c>
      <c r="K22" s="297">
        <v>111904</v>
      </c>
      <c r="L22" s="298">
        <v>150000</v>
      </c>
      <c r="M22" s="298">
        <v>150000</v>
      </c>
      <c r="N22" s="299">
        <v>249999.96000000008</v>
      </c>
      <c r="O22" s="239" t="s">
        <v>467</v>
      </c>
      <c r="P22" s="291">
        <v>-0.39999990399998486</v>
      </c>
    </row>
    <row r="23" spans="1:16" x14ac:dyDescent="0.35">
      <c r="A23" s="251"/>
      <c r="B23" s="250">
        <v>2.7</v>
      </c>
      <c r="C23" s="210"/>
      <c r="D23" s="222" t="s">
        <v>772</v>
      </c>
      <c r="E23" s="222" t="s">
        <v>775</v>
      </c>
      <c r="F23" s="292"/>
      <c r="G23" s="293"/>
      <c r="H23" s="294"/>
      <c r="I23" s="295"/>
      <c r="J23" s="296"/>
      <c r="K23" s="297">
        <v>187752.28</v>
      </c>
      <c r="L23" s="298">
        <v>211351.8</v>
      </c>
      <c r="M23" s="298">
        <v>218326.9</v>
      </c>
      <c r="N23" s="299">
        <v>211110</v>
      </c>
      <c r="O23" s="249"/>
      <c r="P23" s="291">
        <v>1.1453744493390428E-3</v>
      </c>
    </row>
    <row r="24" spans="1:16" ht="12" thickBot="1" x14ac:dyDescent="0.4">
      <c r="A24" s="251"/>
      <c r="B24" s="250">
        <v>2.8</v>
      </c>
      <c r="C24" s="210"/>
      <c r="D24" s="222" t="s">
        <v>548</v>
      </c>
      <c r="E24" s="300" t="s">
        <v>549</v>
      </c>
      <c r="F24" s="292"/>
      <c r="G24" s="293"/>
      <c r="H24" s="294"/>
      <c r="I24" s="295"/>
      <c r="J24" s="296"/>
      <c r="K24" s="297"/>
      <c r="L24" s="298"/>
      <c r="M24" s="298"/>
      <c r="N24" s="299">
        <v>300000</v>
      </c>
      <c r="O24" s="239" t="s">
        <v>467</v>
      </c>
      <c r="P24" s="291">
        <v>-1</v>
      </c>
    </row>
    <row r="25" spans="1:16" ht="23.65" thickBot="1" x14ac:dyDescent="0.4">
      <c r="A25" s="279">
        <v>3</v>
      </c>
      <c r="B25" s="280"/>
      <c r="C25" s="281"/>
      <c r="D25" s="314" t="s">
        <v>20</v>
      </c>
      <c r="E25" s="315" t="s">
        <v>482</v>
      </c>
      <c r="F25" s="283">
        <v>103489.21</v>
      </c>
      <c r="G25" s="284">
        <v>463094.73</v>
      </c>
      <c r="H25" s="285">
        <v>38354</v>
      </c>
      <c r="I25" s="286">
        <v>45657.18</v>
      </c>
      <c r="J25" s="287">
        <v>140374.60999999999</v>
      </c>
      <c r="K25" s="288">
        <v>31250</v>
      </c>
      <c r="L25" s="289">
        <v>60000</v>
      </c>
      <c r="M25" s="289">
        <v>60000</v>
      </c>
      <c r="N25" s="290">
        <v>125000</v>
      </c>
      <c r="O25" s="249" t="s">
        <v>467</v>
      </c>
      <c r="P25" s="291">
        <v>-0.52</v>
      </c>
    </row>
    <row r="26" spans="1:16" ht="23.65" thickBot="1" x14ac:dyDescent="0.4">
      <c r="A26" s="279">
        <v>4</v>
      </c>
      <c r="B26" s="280"/>
      <c r="C26" s="281"/>
      <c r="D26" s="314" t="s">
        <v>21</v>
      </c>
      <c r="E26" s="315" t="s">
        <v>483</v>
      </c>
      <c r="F26" s="283">
        <v>175750.82</v>
      </c>
      <c r="G26" s="318">
        <v>88915.56</v>
      </c>
      <c r="H26" s="285"/>
      <c r="I26" s="319">
        <v>68999</v>
      </c>
      <c r="J26" s="320">
        <v>-21673.73</v>
      </c>
      <c r="K26" s="288">
        <v>20000</v>
      </c>
      <c r="L26" s="289">
        <v>20000</v>
      </c>
      <c r="M26" s="289">
        <v>20000</v>
      </c>
      <c r="N26" s="290">
        <v>40000.000000000022</v>
      </c>
      <c r="O26" s="239" t="s">
        <v>467</v>
      </c>
      <c r="P26" s="291">
        <v>-0.50000000000000022</v>
      </c>
    </row>
    <row r="27" spans="1:16" ht="23.65" thickBot="1" x14ac:dyDescent="0.4">
      <c r="A27" s="280">
        <v>5</v>
      </c>
      <c r="B27" s="280"/>
      <c r="C27" s="321"/>
      <c r="D27" s="314" t="s">
        <v>347</v>
      </c>
      <c r="E27" s="314" t="s">
        <v>484</v>
      </c>
      <c r="F27" s="283">
        <v>142968</v>
      </c>
      <c r="G27" s="284">
        <v>81665.87</v>
      </c>
      <c r="H27" s="285">
        <v>98590.349999999991</v>
      </c>
      <c r="I27" s="286">
        <v>77876.59</v>
      </c>
      <c r="J27" s="287">
        <v>68313.53</v>
      </c>
      <c r="K27" s="288">
        <v>145340.16</v>
      </c>
      <c r="L27" s="322">
        <v>140000</v>
      </c>
      <c r="M27" s="322">
        <v>140000</v>
      </c>
      <c r="N27" s="323">
        <v>70000.240000000005</v>
      </c>
      <c r="O27" s="249" t="s">
        <v>468</v>
      </c>
      <c r="P27" s="291">
        <v>0.99999314288065277</v>
      </c>
    </row>
    <row r="28" spans="1:16" ht="23.25" x14ac:dyDescent="0.35">
      <c r="A28" s="250"/>
      <c r="B28" s="250">
        <v>5.0999999999999996</v>
      </c>
      <c r="D28" s="300" t="s">
        <v>412</v>
      </c>
      <c r="E28" s="300" t="s">
        <v>413</v>
      </c>
      <c r="F28" s="292"/>
      <c r="G28" s="293"/>
      <c r="H28" s="294"/>
      <c r="I28" s="295"/>
      <c r="J28" s="296"/>
      <c r="K28" s="297">
        <v>3638.6</v>
      </c>
      <c r="L28" s="298">
        <v>25000</v>
      </c>
      <c r="M28" s="298">
        <v>25000</v>
      </c>
      <c r="N28" s="299">
        <v>10000.060000000001</v>
      </c>
      <c r="O28" s="239" t="s">
        <v>468</v>
      </c>
      <c r="P28" s="291">
        <v>1.4999850000899992</v>
      </c>
    </row>
    <row r="29" spans="1:16" ht="23.25" x14ac:dyDescent="0.35">
      <c r="A29" s="250"/>
      <c r="B29" s="250">
        <v>5.2</v>
      </c>
      <c r="D29" s="300" t="s">
        <v>352</v>
      </c>
      <c r="E29" s="300" t="s">
        <v>485</v>
      </c>
      <c r="F29" s="292"/>
      <c r="G29" s="293"/>
      <c r="H29" s="294"/>
      <c r="I29" s="295"/>
      <c r="J29" s="296"/>
      <c r="K29" s="297">
        <v>17019.32</v>
      </c>
      <c r="L29" s="298">
        <v>35000</v>
      </c>
      <c r="M29" s="298">
        <v>35000</v>
      </c>
      <c r="N29" s="299">
        <v>15000</v>
      </c>
      <c r="O29" s="249" t="s">
        <v>468</v>
      </c>
      <c r="P29" s="291">
        <v>1.3333333333333335</v>
      </c>
    </row>
    <row r="30" spans="1:16" x14ac:dyDescent="0.35">
      <c r="A30" s="250"/>
      <c r="B30" s="250">
        <v>5.3</v>
      </c>
      <c r="D30" s="300" t="s">
        <v>23</v>
      </c>
      <c r="E30" s="300" t="s">
        <v>446</v>
      </c>
      <c r="F30" s="292">
        <v>88552.02</v>
      </c>
      <c r="G30" s="293">
        <v>55536.11</v>
      </c>
      <c r="H30" s="294">
        <v>71146.539999999994</v>
      </c>
      <c r="I30" s="295">
        <v>47343.71</v>
      </c>
      <c r="J30" s="296">
        <v>25810.48</v>
      </c>
      <c r="K30" s="297">
        <v>94957.280000000013</v>
      </c>
      <c r="L30" s="298">
        <v>50000</v>
      </c>
      <c r="M30" s="298">
        <v>50000</v>
      </c>
      <c r="N30" s="299">
        <v>25000.06</v>
      </c>
      <c r="O30" s="239" t="s">
        <v>468</v>
      </c>
      <c r="P30" s="291">
        <v>0.99999520001151976</v>
      </c>
    </row>
    <row r="31" spans="1:16" ht="23.25" x14ac:dyDescent="0.35">
      <c r="A31" s="250"/>
      <c r="B31" s="250">
        <v>5.4</v>
      </c>
      <c r="D31" s="300" t="s">
        <v>346</v>
      </c>
      <c r="E31" s="300" t="s">
        <v>414</v>
      </c>
      <c r="F31" s="292"/>
      <c r="G31" s="293"/>
      <c r="H31" s="294"/>
      <c r="I31" s="295"/>
      <c r="J31" s="296"/>
      <c r="K31" s="297">
        <v>15012</v>
      </c>
      <c r="L31" s="298">
        <v>20000</v>
      </c>
      <c r="M31" s="298">
        <v>20000</v>
      </c>
      <c r="N31" s="299">
        <v>10000.060000000001</v>
      </c>
      <c r="O31" s="249" t="s">
        <v>468</v>
      </c>
      <c r="P31" s="291">
        <v>0.99998800007199939</v>
      </c>
    </row>
    <row r="32" spans="1:16" ht="23.65" thickBot="1" x14ac:dyDescent="0.4">
      <c r="A32" s="250"/>
      <c r="B32" s="250">
        <v>5.6</v>
      </c>
      <c r="D32" s="300" t="s">
        <v>26</v>
      </c>
      <c r="E32" s="300" t="s">
        <v>486</v>
      </c>
      <c r="F32" s="292">
        <v>54415.98</v>
      </c>
      <c r="G32" s="293">
        <v>26129.759999999998</v>
      </c>
      <c r="H32" s="294">
        <v>27443.81</v>
      </c>
      <c r="I32" s="295">
        <v>30532.880000000001</v>
      </c>
      <c r="J32" s="296">
        <v>42503.05</v>
      </c>
      <c r="K32" s="297">
        <v>14712.96</v>
      </c>
      <c r="L32" s="298">
        <v>10000</v>
      </c>
      <c r="M32" s="298">
        <v>10000</v>
      </c>
      <c r="N32" s="299">
        <v>10000.060000000001</v>
      </c>
      <c r="O32" s="239"/>
      <c r="P32" s="291">
        <v>-5.9999640003027821E-6</v>
      </c>
    </row>
    <row r="33" spans="1:16" ht="35.25" thickBot="1" x14ac:dyDescent="0.4">
      <c r="A33" s="279">
        <v>6</v>
      </c>
      <c r="B33" s="280"/>
      <c r="C33" s="325"/>
      <c r="D33" s="314" t="s">
        <v>420</v>
      </c>
      <c r="E33" s="326" t="s">
        <v>487</v>
      </c>
      <c r="F33" s="283">
        <v>127320.95999999999</v>
      </c>
      <c r="G33" s="284">
        <v>2585.3199999999997</v>
      </c>
      <c r="H33" s="285">
        <v>130.80000000000001</v>
      </c>
      <c r="I33" s="286">
        <v>28083.55</v>
      </c>
      <c r="J33" s="287">
        <v>64884.560000000005</v>
      </c>
      <c r="K33" s="288">
        <v>121459.58</v>
      </c>
      <c r="L33" s="322">
        <v>252000</v>
      </c>
      <c r="M33" s="322">
        <v>258000</v>
      </c>
      <c r="N33" s="323">
        <v>169999.94</v>
      </c>
      <c r="O33" s="249" t="s">
        <v>468</v>
      </c>
      <c r="P33" s="291">
        <v>0.48235346436004622</v>
      </c>
    </row>
    <row r="34" spans="1:16" ht="23.25" x14ac:dyDescent="0.35">
      <c r="A34" s="437"/>
      <c r="B34" s="250">
        <v>6.1</v>
      </c>
      <c r="D34" s="327" t="s">
        <v>421</v>
      </c>
      <c r="E34" s="327" t="s">
        <v>488</v>
      </c>
      <c r="F34" s="292">
        <v>14248.7</v>
      </c>
      <c r="G34" s="293"/>
      <c r="H34" s="294"/>
      <c r="I34" s="295"/>
      <c r="J34" s="296">
        <v>17096.5</v>
      </c>
      <c r="K34" s="297">
        <v>53964.160000000003</v>
      </c>
      <c r="L34" s="298">
        <v>50000</v>
      </c>
      <c r="M34" s="298">
        <v>50000</v>
      </c>
      <c r="N34" s="299">
        <v>45000</v>
      </c>
      <c r="O34" s="239" t="s">
        <v>468</v>
      </c>
      <c r="P34" s="291">
        <v>0.11111111111111116</v>
      </c>
    </row>
    <row r="35" spans="1:16" x14ac:dyDescent="0.35">
      <c r="A35" s="438"/>
      <c r="B35" s="250">
        <v>6.2</v>
      </c>
      <c r="D35" s="327" t="s">
        <v>28</v>
      </c>
      <c r="E35" s="327" t="s">
        <v>29</v>
      </c>
      <c r="F35" s="292">
        <v>83355.94</v>
      </c>
      <c r="G35" s="293">
        <v>1536.8</v>
      </c>
      <c r="H35" s="294"/>
      <c r="I35" s="295">
        <v>11073.7</v>
      </c>
      <c r="J35" s="296">
        <v>32810.980000000003</v>
      </c>
      <c r="K35" s="297">
        <v>32495.48</v>
      </c>
      <c r="L35" s="298">
        <v>30000</v>
      </c>
      <c r="M35" s="298">
        <v>30000</v>
      </c>
      <c r="N35" s="299">
        <v>90000</v>
      </c>
      <c r="O35" s="249" t="s">
        <v>467</v>
      </c>
      <c r="P35" s="291">
        <v>-0.66666666666666674</v>
      </c>
    </row>
    <row r="36" spans="1:16" ht="23.65" thickBot="1" x14ac:dyDescent="0.4">
      <c r="A36" s="439"/>
      <c r="B36" s="328">
        <v>6.3</v>
      </c>
      <c r="C36" s="329"/>
      <c r="D36" s="330" t="s">
        <v>30</v>
      </c>
      <c r="E36" s="330" t="s">
        <v>489</v>
      </c>
      <c r="F36" s="292">
        <v>29716.32</v>
      </c>
      <c r="G36" s="293">
        <v>1048.52</v>
      </c>
      <c r="H36" s="294">
        <v>130.80000000000001</v>
      </c>
      <c r="I36" s="295">
        <v>17009.849999999999</v>
      </c>
      <c r="J36" s="296">
        <v>14977.08</v>
      </c>
      <c r="K36" s="297">
        <v>34999.94</v>
      </c>
      <c r="L36" s="298">
        <v>172000</v>
      </c>
      <c r="M36" s="298">
        <v>178000</v>
      </c>
      <c r="N36" s="299">
        <v>34999.94</v>
      </c>
      <c r="O36" s="239" t="s">
        <v>468</v>
      </c>
      <c r="P36" s="291">
        <v>3.9142941387899519</v>
      </c>
    </row>
    <row r="37" spans="1:16" ht="35.25" thickBot="1" x14ac:dyDescent="0.4">
      <c r="A37" s="279">
        <v>7</v>
      </c>
      <c r="B37" s="280"/>
      <c r="C37" s="325"/>
      <c r="D37" s="314" t="s">
        <v>27</v>
      </c>
      <c r="E37" s="326" t="s">
        <v>490</v>
      </c>
      <c r="F37" s="283">
        <v>145891.31</v>
      </c>
      <c r="G37" s="284">
        <v>46711.34</v>
      </c>
      <c r="H37" s="285">
        <v>141553.11000000002</v>
      </c>
      <c r="I37" s="286">
        <v>121850.61</v>
      </c>
      <c r="J37" s="287">
        <v>80796.23</v>
      </c>
      <c r="K37" s="288">
        <v>144884.20500000002</v>
      </c>
      <c r="L37" s="322">
        <v>165000</v>
      </c>
      <c r="M37" s="322">
        <v>165000</v>
      </c>
      <c r="N37" s="323">
        <v>195000</v>
      </c>
      <c r="O37" s="249" t="s">
        <v>468</v>
      </c>
      <c r="P37" s="291">
        <v>-0.15384615384615385</v>
      </c>
    </row>
    <row r="38" spans="1:16" ht="46.5" x14ac:dyDescent="0.35">
      <c r="A38" s="251"/>
      <c r="B38" s="250">
        <v>7.1</v>
      </c>
      <c r="C38" s="210"/>
      <c r="D38" s="222" t="s">
        <v>31</v>
      </c>
      <c r="E38" s="331" t="s">
        <v>491</v>
      </c>
      <c r="F38" s="292">
        <v>105188.45</v>
      </c>
      <c r="G38" s="293">
        <v>36746.959999999999</v>
      </c>
      <c r="H38" s="294">
        <v>44045.51</v>
      </c>
      <c r="I38" s="295">
        <v>77204.06</v>
      </c>
      <c r="J38" s="296">
        <v>28187.87</v>
      </c>
      <c r="K38" s="297">
        <v>49884.22</v>
      </c>
      <c r="L38" s="298">
        <v>60000</v>
      </c>
      <c r="M38" s="298">
        <v>70000</v>
      </c>
      <c r="N38" s="299">
        <v>70000.059999999983</v>
      </c>
      <c r="O38" s="239" t="s">
        <v>467</v>
      </c>
      <c r="P38" s="291">
        <v>-0.14285787755039048</v>
      </c>
    </row>
    <row r="39" spans="1:16" ht="46.5" x14ac:dyDescent="0.35">
      <c r="A39" s="251"/>
      <c r="B39" s="250">
        <v>7.2</v>
      </c>
      <c r="C39" s="210"/>
      <c r="D39" s="222" t="s">
        <v>32</v>
      </c>
      <c r="E39" s="331" t="s">
        <v>492</v>
      </c>
      <c r="F39" s="292">
        <v>35579.86</v>
      </c>
      <c r="G39" s="293">
        <v>7660.38</v>
      </c>
      <c r="H39" s="294">
        <v>97429.6</v>
      </c>
      <c r="I39" s="295">
        <v>35641.550000000003</v>
      </c>
      <c r="J39" s="296">
        <v>30322.15</v>
      </c>
      <c r="K39" s="297">
        <v>37499.955000000016</v>
      </c>
      <c r="L39" s="298">
        <v>50000</v>
      </c>
      <c r="M39" s="298">
        <v>50000</v>
      </c>
      <c r="N39" s="299">
        <v>49999.940000000017</v>
      </c>
      <c r="O39" s="249"/>
      <c r="P39" s="291">
        <v>1.2000014397717251E-6</v>
      </c>
    </row>
    <row r="40" spans="1:16" ht="46.5" x14ac:dyDescent="0.35">
      <c r="A40" s="251"/>
      <c r="B40" s="250">
        <v>7.3</v>
      </c>
      <c r="C40" s="210"/>
      <c r="D40" s="222" t="s">
        <v>33</v>
      </c>
      <c r="E40" s="331" t="s">
        <v>493</v>
      </c>
      <c r="F40" s="292">
        <v>5123</v>
      </c>
      <c r="G40" s="293">
        <v>2304</v>
      </c>
      <c r="H40" s="294"/>
      <c r="I40" s="295">
        <v>8755</v>
      </c>
      <c r="J40" s="296">
        <v>10810.81</v>
      </c>
      <c r="K40" s="297">
        <v>9999.9699999999993</v>
      </c>
      <c r="L40" s="298">
        <v>5000</v>
      </c>
      <c r="M40" s="298">
        <v>5000</v>
      </c>
      <c r="N40" s="299">
        <v>19999.939999999999</v>
      </c>
      <c r="O40" s="239" t="s">
        <v>467</v>
      </c>
      <c r="P40" s="291">
        <v>-0.74999924999774992</v>
      </c>
    </row>
    <row r="41" spans="1:16" ht="23.25" x14ac:dyDescent="0.35">
      <c r="A41" s="251"/>
      <c r="B41" s="250">
        <v>7.4</v>
      </c>
      <c r="C41" s="210"/>
      <c r="D41" s="222" t="s">
        <v>34</v>
      </c>
      <c r="E41" s="331" t="s">
        <v>470</v>
      </c>
      <c r="F41" s="292"/>
      <c r="G41" s="293"/>
      <c r="H41" s="294">
        <v>78</v>
      </c>
      <c r="I41" s="295">
        <v>250</v>
      </c>
      <c r="J41" s="296">
        <v>11475.4</v>
      </c>
      <c r="K41" s="297">
        <v>25000.06</v>
      </c>
      <c r="L41" s="298">
        <v>25000</v>
      </c>
      <c r="M41" s="298">
        <v>25000</v>
      </c>
      <c r="N41" s="299">
        <v>25000.06</v>
      </c>
      <c r="O41" s="249"/>
      <c r="P41" s="291">
        <v>-2.3999942401209395E-6</v>
      </c>
    </row>
    <row r="42" spans="1:16" ht="35.25" thickBot="1" x14ac:dyDescent="0.4">
      <c r="A42" s="251"/>
      <c r="B42" s="250">
        <v>7.5</v>
      </c>
      <c r="C42" s="210"/>
      <c r="D42" s="300" t="s">
        <v>35</v>
      </c>
      <c r="E42" s="300" t="s">
        <v>494</v>
      </c>
      <c r="F42" s="292"/>
      <c r="G42" s="293"/>
      <c r="H42" s="294"/>
      <c r="I42" s="295"/>
      <c r="J42" s="296"/>
      <c r="K42" s="297">
        <v>22500</v>
      </c>
      <c r="L42" s="298">
        <v>25000</v>
      </c>
      <c r="M42" s="298">
        <v>15000</v>
      </c>
      <c r="N42" s="299">
        <v>30000</v>
      </c>
      <c r="O42" s="239" t="s">
        <v>467</v>
      </c>
      <c r="P42" s="291">
        <v>-0.16666666666666663</v>
      </c>
    </row>
    <row r="43" spans="1:16" ht="12" thickBot="1" x14ac:dyDescent="0.4">
      <c r="A43" s="279">
        <v>8</v>
      </c>
      <c r="B43" s="280"/>
      <c r="C43" s="325"/>
      <c r="D43" s="314" t="s">
        <v>348</v>
      </c>
      <c r="E43" s="315" t="s">
        <v>495</v>
      </c>
      <c r="F43" s="283">
        <v>1090704.73</v>
      </c>
      <c r="G43" s="284">
        <v>567212.56000000006</v>
      </c>
      <c r="H43" s="285">
        <v>943888.65999999992</v>
      </c>
      <c r="I43" s="286">
        <v>627959.06000000006</v>
      </c>
      <c r="J43" s="287">
        <v>712091.68</v>
      </c>
      <c r="K43" s="288">
        <v>550000</v>
      </c>
      <c r="L43" s="289">
        <v>675000</v>
      </c>
      <c r="M43" s="289">
        <v>625000</v>
      </c>
      <c r="N43" s="290">
        <v>875000.11999999965</v>
      </c>
      <c r="O43" s="249" t="s">
        <v>467</v>
      </c>
      <c r="P43" s="291">
        <v>-0.22857153436733213</v>
      </c>
    </row>
    <row r="44" spans="1:16" s="432" customFormat="1" ht="34.9" x14ac:dyDescent="0.35">
      <c r="A44" s="332"/>
      <c r="B44" s="333">
        <v>8.1</v>
      </c>
      <c r="C44" s="334"/>
      <c r="D44" s="222" t="s">
        <v>37</v>
      </c>
      <c r="E44" s="222" t="s">
        <v>496</v>
      </c>
      <c r="F44" s="292">
        <v>523263.27</v>
      </c>
      <c r="G44" s="293">
        <v>259510.86</v>
      </c>
      <c r="H44" s="294">
        <v>369500.69</v>
      </c>
      <c r="I44" s="295">
        <v>493955.83</v>
      </c>
      <c r="J44" s="296">
        <v>516080.47</v>
      </c>
      <c r="K44" s="297">
        <v>450000</v>
      </c>
      <c r="L44" s="298">
        <v>450000</v>
      </c>
      <c r="M44" s="298">
        <v>400000</v>
      </c>
      <c r="N44" s="299">
        <v>499999.94000000018</v>
      </c>
      <c r="O44" s="239" t="s">
        <v>467</v>
      </c>
      <c r="P44" s="291">
        <v>-9.9999891999987378E-2</v>
      </c>
    </row>
    <row r="45" spans="1:16" s="432" customFormat="1" ht="23.25" x14ac:dyDescent="0.35">
      <c r="A45" s="332"/>
      <c r="B45" s="333">
        <v>8.1999999999999993</v>
      </c>
      <c r="C45" s="334"/>
      <c r="D45" s="222" t="s">
        <v>38</v>
      </c>
      <c r="E45" s="222" t="s">
        <v>497</v>
      </c>
      <c r="F45" s="292">
        <v>24760.59</v>
      </c>
      <c r="G45" s="293">
        <v>10954.45</v>
      </c>
      <c r="H45" s="294">
        <v>19888</v>
      </c>
      <c r="I45" s="295"/>
      <c r="J45" s="296">
        <v>70399.820000000007</v>
      </c>
      <c r="K45" s="297">
        <v>0</v>
      </c>
      <c r="L45" s="298">
        <v>25000</v>
      </c>
      <c r="M45" s="298">
        <v>25000</v>
      </c>
      <c r="N45" s="299">
        <v>25000.06</v>
      </c>
      <c r="O45" s="249" t="s">
        <v>467</v>
      </c>
      <c r="P45" s="291">
        <v>-2.3999942401209395E-6</v>
      </c>
    </row>
    <row r="46" spans="1:16" s="432" customFormat="1" ht="23.25" x14ac:dyDescent="0.35">
      <c r="A46" s="332"/>
      <c r="B46" s="333">
        <v>8.3000000000000007</v>
      </c>
      <c r="C46" s="334"/>
      <c r="D46" s="222" t="s">
        <v>39</v>
      </c>
      <c r="E46" s="222" t="s">
        <v>498</v>
      </c>
      <c r="F46" s="292">
        <v>542680.87</v>
      </c>
      <c r="G46" s="293">
        <v>296747.25</v>
      </c>
      <c r="H46" s="294">
        <v>554499.97</v>
      </c>
      <c r="I46" s="295">
        <v>134003.23000000001</v>
      </c>
      <c r="J46" s="296">
        <v>125611.39</v>
      </c>
      <c r="K46" s="297">
        <v>100000</v>
      </c>
      <c r="L46" s="298">
        <v>150000</v>
      </c>
      <c r="M46" s="298">
        <v>150000</v>
      </c>
      <c r="N46" s="299">
        <v>250000.06</v>
      </c>
      <c r="O46" s="239" t="s">
        <v>467</v>
      </c>
      <c r="P46" s="291">
        <v>-0.40000014399996542</v>
      </c>
    </row>
    <row r="47" spans="1:16" s="432" customFormat="1" ht="35.25" thickBot="1" x14ac:dyDescent="0.4">
      <c r="A47" s="332"/>
      <c r="B47" s="333">
        <v>8.4</v>
      </c>
      <c r="C47" s="334"/>
      <c r="D47" s="222" t="s">
        <v>40</v>
      </c>
      <c r="E47" s="222" t="s">
        <v>499</v>
      </c>
      <c r="F47" s="292"/>
      <c r="G47" s="293"/>
      <c r="H47" s="294"/>
      <c r="I47" s="295"/>
      <c r="J47" s="296"/>
      <c r="K47" s="297"/>
      <c r="L47" s="298">
        <v>50000</v>
      </c>
      <c r="M47" s="298">
        <v>50000</v>
      </c>
      <c r="N47" s="299">
        <v>100000.05999999998</v>
      </c>
      <c r="O47" s="249" t="s">
        <v>467</v>
      </c>
      <c r="P47" s="291">
        <v>-0.50000029999981987</v>
      </c>
    </row>
    <row r="48" spans="1:16" ht="12" thickBot="1" x14ac:dyDescent="0.4">
      <c r="A48" s="279">
        <v>9</v>
      </c>
      <c r="B48" s="280"/>
      <c r="C48" s="325"/>
      <c r="D48" s="314" t="s">
        <v>36</v>
      </c>
      <c r="E48" s="315" t="s">
        <v>500</v>
      </c>
      <c r="F48" s="283">
        <v>1094836.07</v>
      </c>
      <c r="G48" s="284">
        <v>494734.39</v>
      </c>
      <c r="H48" s="285">
        <v>771569.88</v>
      </c>
      <c r="I48" s="286">
        <v>1255220.47</v>
      </c>
      <c r="J48" s="287">
        <v>747301.97</v>
      </c>
      <c r="K48" s="288">
        <v>749500</v>
      </c>
      <c r="L48" s="289">
        <v>643000</v>
      </c>
      <c r="M48" s="289">
        <v>662000</v>
      </c>
      <c r="N48" s="290">
        <v>874499.94000000018</v>
      </c>
      <c r="O48" s="239" t="s">
        <v>467</v>
      </c>
      <c r="P48" s="291">
        <v>-0.26472264823711722</v>
      </c>
    </row>
    <row r="49" spans="1:16" s="432" customFormat="1" ht="46.5" x14ac:dyDescent="0.35">
      <c r="A49" s="332"/>
      <c r="B49" s="333">
        <v>9.1</v>
      </c>
      <c r="C49" s="334"/>
      <c r="D49" s="222" t="s">
        <v>41</v>
      </c>
      <c r="E49" s="222" t="s">
        <v>501</v>
      </c>
      <c r="F49" s="292">
        <v>733748.33000000007</v>
      </c>
      <c r="G49" s="293">
        <v>225286.73</v>
      </c>
      <c r="H49" s="294">
        <v>207246.48</v>
      </c>
      <c r="I49" s="295">
        <v>269743.08</v>
      </c>
      <c r="J49" s="296">
        <v>339960.66</v>
      </c>
      <c r="K49" s="297">
        <v>304500</v>
      </c>
      <c r="L49" s="298">
        <v>320000</v>
      </c>
      <c r="M49" s="298">
        <v>336000</v>
      </c>
      <c r="N49" s="299">
        <v>304500</v>
      </c>
      <c r="O49" s="249" t="s">
        <v>468</v>
      </c>
      <c r="P49" s="291">
        <v>5.0903119868637159E-2</v>
      </c>
    </row>
    <row r="50" spans="1:16" s="432" customFormat="1" ht="23.25" x14ac:dyDescent="0.35">
      <c r="A50" s="332"/>
      <c r="B50" s="333">
        <v>9.1999999999999993</v>
      </c>
      <c r="C50" s="334"/>
      <c r="D50" s="222" t="s">
        <v>42</v>
      </c>
      <c r="E50" s="222" t="s">
        <v>502</v>
      </c>
      <c r="F50" s="292">
        <v>240460.34</v>
      </c>
      <c r="G50" s="293">
        <v>232609.66</v>
      </c>
      <c r="H50" s="294">
        <v>499800.4</v>
      </c>
      <c r="I50" s="295">
        <v>928299.39</v>
      </c>
      <c r="J50" s="296">
        <v>364514.31</v>
      </c>
      <c r="K50" s="297">
        <v>375000</v>
      </c>
      <c r="L50" s="298">
        <v>250000</v>
      </c>
      <c r="M50" s="298">
        <v>250000</v>
      </c>
      <c r="N50" s="299">
        <v>499999.94000000018</v>
      </c>
      <c r="O50" s="239" t="s">
        <v>467</v>
      </c>
      <c r="P50" s="291">
        <v>-0.49999993999999293</v>
      </c>
    </row>
    <row r="51" spans="1:16" s="432" customFormat="1" ht="35.25" thickBot="1" x14ac:dyDescent="0.4">
      <c r="A51" s="332"/>
      <c r="B51" s="333">
        <v>9.3000000000000007</v>
      </c>
      <c r="C51" s="334"/>
      <c r="D51" s="222" t="s">
        <v>43</v>
      </c>
      <c r="E51" s="222" t="s">
        <v>503</v>
      </c>
      <c r="F51" s="292">
        <v>120627.4</v>
      </c>
      <c r="G51" s="293">
        <v>36838</v>
      </c>
      <c r="H51" s="294">
        <v>64523</v>
      </c>
      <c r="I51" s="295">
        <v>57178</v>
      </c>
      <c r="J51" s="296">
        <v>42827</v>
      </c>
      <c r="K51" s="297">
        <v>70000</v>
      </c>
      <c r="L51" s="298">
        <v>73000</v>
      </c>
      <c r="M51" s="298">
        <v>76000</v>
      </c>
      <c r="N51" s="299">
        <v>70000</v>
      </c>
      <c r="O51" s="249" t="s">
        <v>468</v>
      </c>
      <c r="P51" s="291">
        <v>4.2857142857142927E-2</v>
      </c>
    </row>
    <row r="52" spans="1:16" s="432" customFormat="1" ht="23.65" thickBot="1" x14ac:dyDescent="0.4">
      <c r="A52" s="335">
        <v>10</v>
      </c>
      <c r="B52" s="336"/>
      <c r="C52" s="337"/>
      <c r="D52" s="314" t="s">
        <v>345</v>
      </c>
      <c r="E52" s="315" t="s">
        <v>504</v>
      </c>
      <c r="F52" s="283">
        <v>347437.95999999996</v>
      </c>
      <c r="G52" s="284">
        <v>180109.92</v>
      </c>
      <c r="H52" s="285">
        <v>162373.04</v>
      </c>
      <c r="I52" s="286">
        <v>238745.36999999997</v>
      </c>
      <c r="J52" s="287">
        <v>415428.73</v>
      </c>
      <c r="K52" s="288">
        <v>311000.21999999997</v>
      </c>
      <c r="L52" s="289">
        <v>331000</v>
      </c>
      <c r="M52" s="289">
        <v>341000</v>
      </c>
      <c r="N52" s="290">
        <v>409000.05999999982</v>
      </c>
      <c r="O52" s="239" t="s">
        <v>467</v>
      </c>
      <c r="P52" s="291">
        <v>-0.19070916517713921</v>
      </c>
    </row>
    <row r="53" spans="1:16" x14ac:dyDescent="0.35">
      <c r="A53" s="251"/>
      <c r="B53" s="250">
        <v>10.1</v>
      </c>
      <c r="C53" s="210"/>
      <c r="D53" s="222" t="s">
        <v>22</v>
      </c>
      <c r="E53" s="222" t="s">
        <v>505</v>
      </c>
      <c r="F53" s="292">
        <v>11969.5</v>
      </c>
      <c r="G53" s="293"/>
      <c r="H53" s="294">
        <v>11329.69</v>
      </c>
      <c r="I53" s="295"/>
      <c r="J53" s="296">
        <v>5030.87</v>
      </c>
      <c r="K53" s="297">
        <v>2538.6999999999998</v>
      </c>
      <c r="L53" s="298">
        <v>3000</v>
      </c>
      <c r="M53" s="298">
        <v>4000</v>
      </c>
      <c r="N53" s="299">
        <v>1000.0600000000002</v>
      </c>
      <c r="O53" s="249" t="s">
        <v>468</v>
      </c>
      <c r="P53" s="291">
        <v>1.9998200107993513</v>
      </c>
    </row>
    <row r="54" spans="1:16" ht="23.25" x14ac:dyDescent="0.35">
      <c r="A54" s="251"/>
      <c r="B54" s="250">
        <v>10.199999999999999</v>
      </c>
      <c r="C54" s="210"/>
      <c r="D54" s="222" t="s">
        <v>418</v>
      </c>
      <c r="E54" s="222" t="s">
        <v>506</v>
      </c>
      <c r="F54" s="292">
        <v>10698.88</v>
      </c>
      <c r="G54" s="293">
        <v>2890.21</v>
      </c>
      <c r="H54" s="294">
        <v>14718.18</v>
      </c>
      <c r="I54" s="295">
        <v>3512.51</v>
      </c>
      <c r="J54" s="296">
        <v>-2848.34</v>
      </c>
      <c r="K54" s="297">
        <v>2294.7200000000003</v>
      </c>
      <c r="L54" s="298">
        <v>2500</v>
      </c>
      <c r="M54" s="298">
        <v>2500</v>
      </c>
      <c r="N54" s="299">
        <v>6000</v>
      </c>
      <c r="O54" s="239" t="s">
        <v>467</v>
      </c>
      <c r="P54" s="291">
        <v>-0.58333333333333326</v>
      </c>
    </row>
    <row r="55" spans="1:16" x14ac:dyDescent="0.35">
      <c r="A55" s="251"/>
      <c r="B55" s="250">
        <v>10.3</v>
      </c>
      <c r="C55" s="210"/>
      <c r="D55" s="222" t="s">
        <v>24</v>
      </c>
      <c r="E55" s="222" t="s">
        <v>447</v>
      </c>
      <c r="F55" s="292">
        <v>64553.04</v>
      </c>
      <c r="G55" s="293">
        <v>49560.59</v>
      </c>
      <c r="H55" s="294">
        <v>56838.35</v>
      </c>
      <c r="I55" s="295">
        <v>62712.24</v>
      </c>
      <c r="J55" s="296">
        <v>68797.31</v>
      </c>
      <c r="K55" s="297">
        <v>69610.559999999998</v>
      </c>
      <c r="L55" s="298">
        <v>72000</v>
      </c>
      <c r="M55" s="298">
        <v>75000</v>
      </c>
      <c r="N55" s="299">
        <v>72000</v>
      </c>
      <c r="O55" s="249"/>
      <c r="P55" s="291">
        <v>0</v>
      </c>
    </row>
    <row r="56" spans="1:16" x14ac:dyDescent="0.35">
      <c r="A56" s="251"/>
      <c r="B56" s="250">
        <v>10.4</v>
      </c>
      <c r="C56" s="210"/>
      <c r="D56" s="222" t="s">
        <v>25</v>
      </c>
      <c r="E56" s="222" t="s">
        <v>25</v>
      </c>
      <c r="F56" s="292">
        <v>12449.4</v>
      </c>
      <c r="G56" s="293">
        <v>10408.469999999999</v>
      </c>
      <c r="H56" s="294">
        <v>11275.07</v>
      </c>
      <c r="I56" s="295">
        <v>9397.34</v>
      </c>
      <c r="J56" s="296">
        <v>9523.19</v>
      </c>
      <c r="K56" s="297">
        <v>10439.76</v>
      </c>
      <c r="L56" s="298">
        <v>11000</v>
      </c>
      <c r="M56" s="298">
        <v>12000</v>
      </c>
      <c r="N56" s="299">
        <v>10999.939999999999</v>
      </c>
      <c r="O56" s="239"/>
      <c r="P56" s="291">
        <v>5.4545752068424491E-6</v>
      </c>
    </row>
    <row r="57" spans="1:16" s="432" customFormat="1" ht="23.25" x14ac:dyDescent="0.35">
      <c r="A57" s="332"/>
      <c r="B57" s="250">
        <v>10.5</v>
      </c>
      <c r="C57" s="334"/>
      <c r="D57" s="222" t="s">
        <v>353</v>
      </c>
      <c r="E57" s="222" t="s">
        <v>507</v>
      </c>
      <c r="F57" s="292">
        <v>55675.78</v>
      </c>
      <c r="G57" s="293">
        <v>18522.809999999998</v>
      </c>
      <c r="H57" s="338">
        <v>-3106.1000000000022</v>
      </c>
      <c r="I57" s="295">
        <v>28759.43</v>
      </c>
      <c r="J57" s="339">
        <v>38318.15</v>
      </c>
      <c r="K57" s="297">
        <v>30000</v>
      </c>
      <c r="L57" s="298">
        <v>30000</v>
      </c>
      <c r="M57" s="298">
        <v>30000</v>
      </c>
      <c r="N57" s="299">
        <v>30000</v>
      </c>
      <c r="O57" s="249"/>
      <c r="P57" s="291">
        <v>0</v>
      </c>
    </row>
    <row r="58" spans="1:16" x14ac:dyDescent="0.35">
      <c r="A58" s="251"/>
      <c r="B58" s="250">
        <v>10.6</v>
      </c>
      <c r="C58" s="210"/>
      <c r="D58" s="222" t="s">
        <v>354</v>
      </c>
      <c r="E58" s="222" t="s">
        <v>448</v>
      </c>
      <c r="F58" s="292">
        <v>12843.2</v>
      </c>
      <c r="G58" s="293">
        <v>7819.89</v>
      </c>
      <c r="H58" s="294">
        <v>4128.76</v>
      </c>
      <c r="I58" s="295">
        <v>6150.37</v>
      </c>
      <c r="J58" s="296">
        <v>4919.3999999999996</v>
      </c>
      <c r="K58" s="297">
        <v>1921</v>
      </c>
      <c r="L58" s="298">
        <v>1500</v>
      </c>
      <c r="M58" s="298">
        <v>1500</v>
      </c>
      <c r="N58" s="299">
        <v>0</v>
      </c>
      <c r="O58" s="239"/>
      <c r="P58" s="291"/>
    </row>
    <row r="59" spans="1:16" ht="23.25" x14ac:dyDescent="0.35">
      <c r="A59" s="251"/>
      <c r="B59" s="250">
        <v>10.7</v>
      </c>
      <c r="C59" s="210"/>
      <c r="D59" s="222" t="s">
        <v>355</v>
      </c>
      <c r="E59" s="222" t="s">
        <v>508</v>
      </c>
      <c r="F59" s="292">
        <v>30740.98</v>
      </c>
      <c r="G59" s="293">
        <v>43502.04</v>
      </c>
      <c r="H59" s="294">
        <v>37815.31</v>
      </c>
      <c r="I59" s="295">
        <v>40632.39</v>
      </c>
      <c r="J59" s="296">
        <v>48545.15</v>
      </c>
      <c r="K59" s="297">
        <v>59511.96</v>
      </c>
      <c r="L59" s="298">
        <v>60000</v>
      </c>
      <c r="M59" s="298">
        <v>60000</v>
      </c>
      <c r="N59" s="299">
        <v>60000</v>
      </c>
      <c r="O59" s="249"/>
      <c r="P59" s="291">
        <v>0</v>
      </c>
    </row>
    <row r="60" spans="1:16" ht="23.25" x14ac:dyDescent="0.35">
      <c r="A60" s="340"/>
      <c r="B60" s="250">
        <v>10.8</v>
      </c>
      <c r="C60" s="210"/>
      <c r="D60" s="222" t="s">
        <v>356</v>
      </c>
      <c r="E60" s="222" t="s">
        <v>449</v>
      </c>
      <c r="F60" s="292">
        <v>18313.259999999998</v>
      </c>
      <c r="G60" s="293">
        <v>1153.17</v>
      </c>
      <c r="H60" s="294">
        <v>386.99</v>
      </c>
      <c r="I60" s="295">
        <v>1821</v>
      </c>
      <c r="J60" s="296">
        <v>2115.31</v>
      </c>
      <c r="K60" s="297">
        <v>1999.9400000000003</v>
      </c>
      <c r="L60" s="298">
        <v>2000</v>
      </c>
      <c r="M60" s="298">
        <v>2000</v>
      </c>
      <c r="N60" s="299">
        <v>1999.9400000000003</v>
      </c>
      <c r="O60" s="239"/>
      <c r="P60" s="291">
        <v>3.0000900026916355E-5</v>
      </c>
    </row>
    <row r="61" spans="1:16" x14ac:dyDescent="0.35">
      <c r="A61" s="251"/>
      <c r="B61" s="250">
        <v>10.9</v>
      </c>
      <c r="C61" s="210"/>
      <c r="D61" s="222" t="s">
        <v>357</v>
      </c>
      <c r="E61" s="222" t="s">
        <v>450</v>
      </c>
      <c r="F61" s="292">
        <v>53202.96</v>
      </c>
      <c r="G61" s="293">
        <v>39822.839999999997</v>
      </c>
      <c r="H61" s="294">
        <v>19397.009999999998</v>
      </c>
      <c r="I61" s="295">
        <v>55890.67</v>
      </c>
      <c r="J61" s="296">
        <v>68689.350000000006</v>
      </c>
      <c r="K61" s="297">
        <v>80000</v>
      </c>
      <c r="L61" s="298">
        <v>88000</v>
      </c>
      <c r="M61" s="298">
        <v>92000</v>
      </c>
      <c r="N61" s="299">
        <v>90000</v>
      </c>
      <c r="O61" s="249" t="s">
        <v>467</v>
      </c>
      <c r="P61" s="291">
        <v>-2.2222222222222254E-2</v>
      </c>
    </row>
    <row r="62" spans="1:16" x14ac:dyDescent="0.35">
      <c r="A62" s="251"/>
      <c r="B62" s="341">
        <v>10.1</v>
      </c>
      <c r="C62" s="210"/>
      <c r="D62" s="222" t="s">
        <v>358</v>
      </c>
      <c r="E62" s="222" t="s">
        <v>451</v>
      </c>
      <c r="F62" s="292">
        <v>2858.93</v>
      </c>
      <c r="G62" s="293">
        <v>1974.89</v>
      </c>
      <c r="H62" s="294">
        <v>2944.24</v>
      </c>
      <c r="I62" s="295">
        <v>3459.92</v>
      </c>
      <c r="J62" s="296">
        <v>5359.85</v>
      </c>
      <c r="K62" s="297">
        <v>5183.58</v>
      </c>
      <c r="L62" s="298">
        <v>6000</v>
      </c>
      <c r="M62" s="298">
        <v>7000</v>
      </c>
      <c r="N62" s="299">
        <v>7000.06</v>
      </c>
      <c r="O62" s="239" t="s">
        <v>467</v>
      </c>
      <c r="P62" s="291">
        <v>-0.14286448973294519</v>
      </c>
    </row>
    <row r="63" spans="1:16" x14ac:dyDescent="0.35">
      <c r="A63" s="251"/>
      <c r="B63" s="250">
        <v>10.11</v>
      </c>
      <c r="C63" s="210"/>
      <c r="D63" s="342" t="s">
        <v>359</v>
      </c>
      <c r="E63" s="342" t="s">
        <v>452</v>
      </c>
      <c r="F63" s="292">
        <v>74132.03</v>
      </c>
      <c r="G63" s="293">
        <v>4455.01</v>
      </c>
      <c r="H63" s="294">
        <v>6645.54</v>
      </c>
      <c r="I63" s="295">
        <v>18838.5</v>
      </c>
      <c r="J63" s="296">
        <v>13619.2</v>
      </c>
      <c r="K63" s="297">
        <v>22500</v>
      </c>
      <c r="L63" s="298">
        <v>30000</v>
      </c>
      <c r="M63" s="298">
        <v>30000</v>
      </c>
      <c r="N63" s="299">
        <v>30000</v>
      </c>
      <c r="O63" s="249"/>
      <c r="P63" s="291">
        <v>0</v>
      </c>
    </row>
    <row r="64" spans="1:16" ht="23.25" x14ac:dyDescent="0.35">
      <c r="A64" s="251"/>
      <c r="B64" s="250">
        <v>10.119999999999999</v>
      </c>
      <c r="C64" s="210"/>
      <c r="D64" s="342" t="s">
        <v>360</v>
      </c>
      <c r="E64" s="342" t="s">
        <v>509</v>
      </c>
      <c r="F64" s="292"/>
      <c r="G64" s="293"/>
      <c r="H64" s="294"/>
      <c r="I64" s="295">
        <v>7571</v>
      </c>
      <c r="J64" s="296">
        <v>153359.29</v>
      </c>
      <c r="K64" s="297">
        <v>0</v>
      </c>
      <c r="L64" s="298">
        <v>0</v>
      </c>
      <c r="M64" s="298">
        <v>0</v>
      </c>
      <c r="N64" s="299">
        <v>0</v>
      </c>
      <c r="O64" s="239"/>
      <c r="P64" s="291"/>
    </row>
    <row r="65" spans="1:17" s="432" customFormat="1" ht="23.65" thickBot="1" x14ac:dyDescent="0.4">
      <c r="A65" s="332"/>
      <c r="B65" s="328">
        <v>10.130000000000001</v>
      </c>
      <c r="C65" s="343"/>
      <c r="D65" s="344" t="s">
        <v>361</v>
      </c>
      <c r="E65" s="344" t="s">
        <v>453</v>
      </c>
      <c r="F65" s="345"/>
      <c r="G65" s="346"/>
      <c r="H65" s="347"/>
      <c r="I65" s="348"/>
      <c r="J65" s="349"/>
      <c r="K65" s="350">
        <v>25000</v>
      </c>
      <c r="L65" s="351">
        <v>25000</v>
      </c>
      <c r="M65" s="351">
        <v>25000</v>
      </c>
      <c r="N65" s="352">
        <v>100000.05999999998</v>
      </c>
      <c r="O65" s="249" t="s">
        <v>467</v>
      </c>
      <c r="P65" s="291">
        <v>-0.75000014999990994</v>
      </c>
    </row>
    <row r="66" spans="1:17" ht="23.65" thickBot="1" x14ac:dyDescent="0.4">
      <c r="A66" s="279">
        <v>11</v>
      </c>
      <c r="B66" s="353"/>
      <c r="C66" s="354"/>
      <c r="D66" s="355" t="s">
        <v>466</v>
      </c>
      <c r="E66" s="356" t="s">
        <v>510</v>
      </c>
      <c r="F66" s="357">
        <v>88516.94</v>
      </c>
      <c r="G66" s="358">
        <v>87752.760000000009</v>
      </c>
      <c r="H66" s="359">
        <v>38726.71</v>
      </c>
      <c r="I66" s="360">
        <v>25449.42</v>
      </c>
      <c r="J66" s="361">
        <v>27283.599999999999</v>
      </c>
      <c r="K66" s="362">
        <v>145122</v>
      </c>
      <c r="L66" s="363">
        <v>150000</v>
      </c>
      <c r="M66" s="363">
        <v>150000</v>
      </c>
      <c r="N66" s="364">
        <v>150000</v>
      </c>
      <c r="O66" s="239"/>
      <c r="P66" s="291">
        <v>0</v>
      </c>
    </row>
    <row r="67" spans="1:17" s="221" customFormat="1" ht="23.25" x14ac:dyDescent="0.35">
      <c r="A67" s="365"/>
      <c r="B67" s="366" t="s">
        <v>471</v>
      </c>
      <c r="C67" s="210"/>
      <c r="D67" s="342" t="s">
        <v>45</v>
      </c>
      <c r="E67" s="342" t="s">
        <v>48</v>
      </c>
      <c r="F67" s="292">
        <v>39011.83</v>
      </c>
      <c r="G67" s="293">
        <v>41965.22</v>
      </c>
      <c r="H67" s="294">
        <v>3177.64</v>
      </c>
      <c r="I67" s="295"/>
      <c r="J67" s="296"/>
      <c r="K67" s="297"/>
      <c r="L67" s="298">
        <v>0</v>
      </c>
      <c r="M67" s="298">
        <v>0</v>
      </c>
      <c r="N67" s="299"/>
      <c r="O67" s="249"/>
      <c r="P67" s="291"/>
    </row>
    <row r="68" spans="1:17" s="221" customFormat="1" x14ac:dyDescent="0.35">
      <c r="A68" s="365"/>
      <c r="B68" s="366" t="s">
        <v>472</v>
      </c>
      <c r="C68" s="210"/>
      <c r="D68" s="342" t="s">
        <v>47</v>
      </c>
      <c r="E68" s="342" t="s">
        <v>511</v>
      </c>
      <c r="F68" s="292">
        <v>10778.32</v>
      </c>
      <c r="G68" s="293">
        <v>16284.21</v>
      </c>
      <c r="H68" s="294">
        <v>6061.4</v>
      </c>
      <c r="I68" s="295"/>
      <c r="J68" s="296"/>
      <c r="K68" s="297"/>
      <c r="L68" s="298">
        <v>0</v>
      </c>
      <c r="M68" s="298">
        <v>0</v>
      </c>
      <c r="N68" s="299"/>
      <c r="O68" s="239"/>
      <c r="P68" s="291"/>
    </row>
    <row r="69" spans="1:17" s="221" customFormat="1" ht="35.25" thickBot="1" x14ac:dyDescent="0.4">
      <c r="A69" s="365"/>
      <c r="B69" s="366" t="s">
        <v>473</v>
      </c>
      <c r="C69" s="210"/>
      <c r="D69" s="342" t="s">
        <v>349</v>
      </c>
      <c r="E69" s="342" t="s">
        <v>512</v>
      </c>
      <c r="F69" s="292">
        <v>38726.79</v>
      </c>
      <c r="G69" s="293">
        <v>29503.33</v>
      </c>
      <c r="H69" s="294">
        <v>29487.67</v>
      </c>
      <c r="I69" s="295">
        <v>25449.42</v>
      </c>
      <c r="J69" s="296">
        <v>27283.599999999999</v>
      </c>
      <c r="K69" s="297">
        <v>145122</v>
      </c>
      <c r="L69" s="298">
        <v>150000</v>
      </c>
      <c r="M69" s="298">
        <v>150000</v>
      </c>
      <c r="N69" s="299">
        <v>150000</v>
      </c>
      <c r="O69" s="249"/>
      <c r="P69" s="291">
        <v>0</v>
      </c>
    </row>
    <row r="70" spans="1:17" s="221" customFormat="1" ht="23.65" thickBot="1" x14ac:dyDescent="0.4">
      <c r="A70" s="279">
        <v>12</v>
      </c>
      <c r="B70" s="280"/>
      <c r="C70" s="325"/>
      <c r="D70" s="314" t="s">
        <v>49</v>
      </c>
      <c r="E70" s="315" t="s">
        <v>513</v>
      </c>
      <c r="F70" s="283">
        <v>1326666.26</v>
      </c>
      <c r="G70" s="284">
        <v>815926.56</v>
      </c>
      <c r="H70" s="285">
        <v>685586.62999999989</v>
      </c>
      <c r="I70" s="286">
        <v>760390.94</v>
      </c>
      <c r="J70" s="287">
        <v>1023375.0800000001</v>
      </c>
      <c r="K70" s="288">
        <v>1118587.08</v>
      </c>
      <c r="L70" s="289">
        <v>1255611.0899999999</v>
      </c>
      <c r="M70" s="289">
        <v>1272611.0899999999</v>
      </c>
      <c r="N70" s="290">
        <v>1268841</v>
      </c>
      <c r="O70" s="239" t="s">
        <v>467</v>
      </c>
      <c r="P70" s="291">
        <v>-1.0426767420031458E-2</v>
      </c>
    </row>
    <row r="71" spans="1:17" s="221" customFormat="1" x14ac:dyDescent="0.35">
      <c r="A71" s="367"/>
      <c r="B71" s="366" t="s">
        <v>474</v>
      </c>
      <c r="C71" s="210"/>
      <c r="D71" s="342" t="s">
        <v>432</v>
      </c>
      <c r="E71" s="342" t="s">
        <v>514</v>
      </c>
      <c r="F71" s="292">
        <v>678032.06</v>
      </c>
      <c r="G71" s="293">
        <v>382657.64</v>
      </c>
      <c r="H71" s="368">
        <v>414443.91</v>
      </c>
      <c r="I71" s="369">
        <v>366764.52</v>
      </c>
      <c r="J71" s="370">
        <v>377946.63</v>
      </c>
      <c r="K71" s="297">
        <v>411492.96000000008</v>
      </c>
      <c r="L71" s="298">
        <v>464987.08999999997</v>
      </c>
      <c r="M71" s="298">
        <v>464987.08999999997</v>
      </c>
      <c r="N71" s="299">
        <v>464986.94000000018</v>
      </c>
      <c r="O71" s="249"/>
      <c r="P71" s="291">
        <v>3.2258970494858374E-7</v>
      </c>
    </row>
    <row r="72" spans="1:17" s="221" customFormat="1" x14ac:dyDescent="0.35">
      <c r="A72" s="367"/>
      <c r="B72" s="366" t="s">
        <v>475</v>
      </c>
      <c r="C72" s="210"/>
      <c r="D72" s="342" t="s">
        <v>431</v>
      </c>
      <c r="E72" s="342" t="s">
        <v>515</v>
      </c>
      <c r="F72" s="292">
        <v>648634.19999999995</v>
      </c>
      <c r="G72" s="293">
        <v>433268.92</v>
      </c>
      <c r="H72" s="368">
        <v>271142.71999999997</v>
      </c>
      <c r="I72" s="369">
        <v>393626.42</v>
      </c>
      <c r="J72" s="370">
        <v>447202.38</v>
      </c>
      <c r="K72" s="297">
        <v>460534.2</v>
      </c>
      <c r="L72" s="298">
        <v>544000</v>
      </c>
      <c r="M72" s="298">
        <v>561000</v>
      </c>
      <c r="N72" s="299">
        <v>545854.05999999982</v>
      </c>
      <c r="O72" s="239" t="s">
        <v>467</v>
      </c>
      <c r="P72" s="291">
        <v>-3.3966221667377505E-3</v>
      </c>
    </row>
    <row r="73" spans="1:17" s="221" customFormat="1" ht="35.25" thickBot="1" x14ac:dyDescent="0.4">
      <c r="A73" s="367"/>
      <c r="B73" s="366" t="s">
        <v>476</v>
      </c>
      <c r="C73" s="210"/>
      <c r="D73" s="342" t="s">
        <v>454</v>
      </c>
      <c r="E73" s="342" t="s">
        <v>516</v>
      </c>
      <c r="F73" s="292"/>
      <c r="G73" s="293"/>
      <c r="H73" s="368"/>
      <c r="I73" s="369"/>
      <c r="J73" s="370">
        <v>198226.07</v>
      </c>
      <c r="K73" s="297">
        <v>246559.91999999998</v>
      </c>
      <c r="L73" s="298">
        <v>246624</v>
      </c>
      <c r="M73" s="298">
        <v>246624</v>
      </c>
      <c r="N73" s="299">
        <v>258000</v>
      </c>
      <c r="O73" s="249" t="s">
        <v>467</v>
      </c>
      <c r="P73" s="291">
        <v>-4.409302325581399E-2</v>
      </c>
    </row>
    <row r="74" spans="1:17" ht="35.25" thickBot="1" x14ac:dyDescent="0.4">
      <c r="A74" s="279">
        <v>13</v>
      </c>
      <c r="B74" s="280"/>
      <c r="C74" s="325"/>
      <c r="D74" s="314" t="s">
        <v>50</v>
      </c>
      <c r="E74" s="315" t="s">
        <v>517</v>
      </c>
      <c r="F74" s="283">
        <v>379007.66000000003</v>
      </c>
      <c r="G74" s="284">
        <v>254661.61000000002</v>
      </c>
      <c r="H74" s="285">
        <v>236628.84</v>
      </c>
      <c r="I74" s="286">
        <v>229124.13999999998</v>
      </c>
      <c r="J74" s="287">
        <v>307835.25</v>
      </c>
      <c r="K74" s="288">
        <v>416371</v>
      </c>
      <c r="L74" s="289">
        <v>480000</v>
      </c>
      <c r="M74" s="289">
        <v>480000</v>
      </c>
      <c r="N74" s="290">
        <v>377062.93999999994</v>
      </c>
      <c r="O74" s="239" t="s">
        <v>468</v>
      </c>
      <c r="P74" s="291">
        <v>0.27299702272517168</v>
      </c>
    </row>
    <row r="75" spans="1:17" x14ac:dyDescent="0.35">
      <c r="A75" s="251"/>
      <c r="B75" s="250">
        <v>13.1</v>
      </c>
      <c r="C75" s="210"/>
      <c r="D75" s="371" t="s">
        <v>455</v>
      </c>
      <c r="E75" s="222" t="s">
        <v>456</v>
      </c>
      <c r="F75" s="292">
        <v>38554.74</v>
      </c>
      <c r="G75" s="293">
        <v>6087.57</v>
      </c>
      <c r="H75" s="338">
        <v>-9580.77</v>
      </c>
      <c r="I75" s="295">
        <v>6503.55</v>
      </c>
      <c r="J75" s="296">
        <v>13382.37</v>
      </c>
      <c r="K75" s="297">
        <v>15000</v>
      </c>
      <c r="L75" s="298">
        <v>20000</v>
      </c>
      <c r="M75" s="298">
        <v>20000</v>
      </c>
      <c r="N75" s="299">
        <v>19999.939999999999</v>
      </c>
      <c r="O75" s="249"/>
      <c r="P75" s="291">
        <v>3.0000090001092161E-6</v>
      </c>
    </row>
    <row r="76" spans="1:17" ht="23.25" x14ac:dyDescent="0.35">
      <c r="A76" s="251"/>
      <c r="B76" s="250">
        <v>13.2</v>
      </c>
      <c r="C76" s="210"/>
      <c r="D76" s="300" t="s">
        <v>350</v>
      </c>
      <c r="E76" s="222" t="s">
        <v>518</v>
      </c>
      <c r="F76" s="292">
        <v>291617.46000000002</v>
      </c>
      <c r="G76" s="293">
        <v>208271.16</v>
      </c>
      <c r="H76" s="294">
        <v>152902.47</v>
      </c>
      <c r="I76" s="295">
        <v>165593.68</v>
      </c>
      <c r="J76" s="296">
        <v>233724.13</v>
      </c>
      <c r="K76" s="297">
        <v>270000</v>
      </c>
      <c r="L76" s="298">
        <v>310000</v>
      </c>
      <c r="M76" s="298">
        <v>310000</v>
      </c>
      <c r="N76" s="299">
        <v>270000</v>
      </c>
      <c r="O76" s="239" t="s">
        <v>468</v>
      </c>
      <c r="P76" s="291">
        <v>0.14814814814814814</v>
      </c>
    </row>
    <row r="77" spans="1:17" ht="46.5" x14ac:dyDescent="0.35">
      <c r="A77" s="251"/>
      <c r="B77" s="250">
        <v>13.3</v>
      </c>
      <c r="C77" s="210"/>
      <c r="D77" s="300" t="s">
        <v>442</v>
      </c>
      <c r="E77" s="222" t="s">
        <v>519</v>
      </c>
      <c r="F77" s="292"/>
      <c r="G77" s="293">
        <v>37382.660000000003</v>
      </c>
      <c r="H77" s="294">
        <v>85510.049999999988</v>
      </c>
      <c r="I77" s="295">
        <v>57026.91</v>
      </c>
      <c r="J77" s="296">
        <v>60728.749999999993</v>
      </c>
      <c r="K77" s="297">
        <v>131371</v>
      </c>
      <c r="L77" s="298">
        <v>150000</v>
      </c>
      <c r="M77" s="298">
        <v>150000</v>
      </c>
      <c r="N77" s="299">
        <v>87063</v>
      </c>
      <c r="O77" s="249" t="s">
        <v>468</v>
      </c>
      <c r="P77" s="291">
        <v>0.72289032080217774</v>
      </c>
    </row>
    <row r="78" spans="1:17" ht="46.9" thickBot="1" x14ac:dyDescent="0.4">
      <c r="A78" s="251"/>
      <c r="B78" s="250">
        <v>13.4</v>
      </c>
      <c r="C78" s="210"/>
      <c r="D78" s="300" t="s">
        <v>436</v>
      </c>
      <c r="E78" s="222" t="s">
        <v>520</v>
      </c>
      <c r="F78" s="292">
        <v>48835.46</v>
      </c>
      <c r="G78" s="293">
        <v>2920.22</v>
      </c>
      <c r="H78" s="294">
        <v>7797.09</v>
      </c>
      <c r="I78" s="295"/>
      <c r="J78" s="296"/>
      <c r="K78" s="297"/>
      <c r="L78" s="298">
        <v>0</v>
      </c>
      <c r="M78" s="298">
        <v>0</v>
      </c>
      <c r="N78" s="299"/>
      <c r="O78" s="239"/>
      <c r="P78" s="291"/>
      <c r="Q78" s="433"/>
    </row>
    <row r="79" spans="1:17" ht="12" thickBot="1" x14ac:dyDescent="0.4">
      <c r="A79" s="279">
        <v>14</v>
      </c>
      <c r="B79" s="280"/>
      <c r="C79" s="325"/>
      <c r="D79" s="314" t="s">
        <v>28</v>
      </c>
      <c r="E79" s="315" t="s">
        <v>29</v>
      </c>
      <c r="F79" s="283">
        <v>146122.78</v>
      </c>
      <c r="G79" s="284">
        <v>17880.04</v>
      </c>
      <c r="H79" s="372">
        <v>-4489.95</v>
      </c>
      <c r="I79" s="286">
        <v>119161.58000000002</v>
      </c>
      <c r="J79" s="287">
        <v>85041.290000000008</v>
      </c>
      <c r="K79" s="288">
        <v>75183.399999999994</v>
      </c>
      <c r="L79" s="289">
        <v>70000</v>
      </c>
      <c r="M79" s="289">
        <v>70000</v>
      </c>
      <c r="N79" s="290">
        <v>200000.11999999997</v>
      </c>
      <c r="O79" s="249" t="s">
        <v>467</v>
      </c>
      <c r="P79" s="291">
        <v>-0.65000020999987396</v>
      </c>
    </row>
    <row r="80" spans="1:17" ht="23.25" x14ac:dyDescent="0.35">
      <c r="A80" s="251"/>
      <c r="B80" s="250">
        <v>14.1</v>
      </c>
      <c r="C80" s="210"/>
      <c r="D80" s="300" t="s">
        <v>51</v>
      </c>
      <c r="E80" s="331" t="s">
        <v>521</v>
      </c>
      <c r="F80" s="292">
        <v>70281.440000000002</v>
      </c>
      <c r="G80" s="293">
        <v>16930.04</v>
      </c>
      <c r="H80" s="294">
        <v>1015.99</v>
      </c>
      <c r="I80" s="295">
        <v>6488.61</v>
      </c>
      <c r="J80" s="296">
        <v>2309.1799999999998</v>
      </c>
      <c r="K80" s="297">
        <v>7683.4</v>
      </c>
      <c r="L80" s="298">
        <v>10000</v>
      </c>
      <c r="M80" s="298">
        <v>10000</v>
      </c>
      <c r="N80" s="299">
        <v>70000.059999999983</v>
      </c>
      <c r="O80" s="239" t="s">
        <v>467</v>
      </c>
      <c r="P80" s="291">
        <v>-0.8571429795917318</v>
      </c>
    </row>
    <row r="81" spans="1:16" x14ac:dyDescent="0.35">
      <c r="A81" s="251"/>
      <c r="B81" s="250">
        <v>14.2</v>
      </c>
      <c r="C81" s="210"/>
      <c r="D81" s="300" t="s">
        <v>52</v>
      </c>
      <c r="E81" s="331" t="s">
        <v>53</v>
      </c>
      <c r="F81" s="292">
        <v>73168.13</v>
      </c>
      <c r="G81" s="373">
        <v>950</v>
      </c>
      <c r="H81" s="338">
        <v>-5505.94</v>
      </c>
      <c r="I81" s="295">
        <v>8670.39</v>
      </c>
      <c r="J81" s="296">
        <v>7347.48</v>
      </c>
      <c r="K81" s="297">
        <v>19999.939999999999</v>
      </c>
      <c r="L81" s="298">
        <v>20000</v>
      </c>
      <c r="M81" s="298">
        <v>20000</v>
      </c>
      <c r="N81" s="299">
        <v>19999.939999999999</v>
      </c>
      <c r="O81" s="249"/>
      <c r="P81" s="291">
        <v>3.0000090001092161E-6</v>
      </c>
    </row>
    <row r="82" spans="1:16" ht="23.25" x14ac:dyDescent="0.35">
      <c r="A82" s="251"/>
      <c r="B82" s="250">
        <v>14.3</v>
      </c>
      <c r="C82" s="210"/>
      <c r="D82" s="300" t="s">
        <v>351</v>
      </c>
      <c r="E82" s="327" t="s">
        <v>522</v>
      </c>
      <c r="F82" s="292"/>
      <c r="G82" s="293"/>
      <c r="H82" s="294"/>
      <c r="I82" s="295">
        <v>10877.87</v>
      </c>
      <c r="J82" s="296">
        <v>14475.23</v>
      </c>
      <c r="K82" s="297">
        <v>7500.045000000001</v>
      </c>
      <c r="L82" s="298">
        <v>10000</v>
      </c>
      <c r="M82" s="298">
        <v>10000</v>
      </c>
      <c r="N82" s="299">
        <v>10000.060000000001</v>
      </c>
      <c r="O82" s="239"/>
      <c r="P82" s="291">
        <v>-5.9999640003027821E-6</v>
      </c>
    </row>
    <row r="83" spans="1:16" ht="46.5" x14ac:dyDescent="0.35">
      <c r="A83" s="251"/>
      <c r="B83" s="250">
        <v>14.4</v>
      </c>
      <c r="C83" s="210"/>
      <c r="D83" s="300" t="s">
        <v>54</v>
      </c>
      <c r="E83" s="327" t="s">
        <v>523</v>
      </c>
      <c r="F83" s="292"/>
      <c r="G83" s="293"/>
      <c r="H83" s="368"/>
      <c r="I83" s="369">
        <v>1361.9</v>
      </c>
      <c r="J83" s="370"/>
      <c r="K83" s="297">
        <v>5000.0300000000007</v>
      </c>
      <c r="L83" s="298">
        <v>10000</v>
      </c>
      <c r="M83" s="298">
        <v>10000</v>
      </c>
      <c r="N83" s="299">
        <v>10000.060000000001</v>
      </c>
      <c r="O83" s="249"/>
      <c r="P83" s="291">
        <v>-5.9999640003027821E-6</v>
      </c>
    </row>
    <row r="84" spans="1:16" ht="46.5" x14ac:dyDescent="0.35">
      <c r="A84" s="251"/>
      <c r="B84" s="250">
        <v>14.5</v>
      </c>
      <c r="C84" s="210"/>
      <c r="D84" s="300" t="s">
        <v>55</v>
      </c>
      <c r="E84" s="327" t="s">
        <v>524</v>
      </c>
      <c r="F84" s="292"/>
      <c r="G84" s="293"/>
      <c r="H84" s="368"/>
      <c r="I84" s="369">
        <v>47881.87</v>
      </c>
      <c r="J84" s="370">
        <v>25646.49</v>
      </c>
      <c r="K84" s="297">
        <v>24999.970000000008</v>
      </c>
      <c r="L84" s="298">
        <v>10000</v>
      </c>
      <c r="M84" s="298">
        <v>10000</v>
      </c>
      <c r="N84" s="299">
        <v>49999.940000000017</v>
      </c>
      <c r="O84" s="239" t="s">
        <v>467</v>
      </c>
      <c r="P84" s="291">
        <v>-0.79999975999971207</v>
      </c>
    </row>
    <row r="85" spans="1:16" ht="46.9" thickBot="1" x14ac:dyDescent="0.4">
      <c r="A85" s="251"/>
      <c r="B85" s="328">
        <v>14.6</v>
      </c>
      <c r="C85" s="329"/>
      <c r="D85" s="374" t="s">
        <v>56</v>
      </c>
      <c r="E85" s="375" t="s">
        <v>525</v>
      </c>
      <c r="F85" s="345">
        <v>2673.21</v>
      </c>
      <c r="G85" s="346"/>
      <c r="H85" s="347"/>
      <c r="I85" s="348">
        <v>43880.94</v>
      </c>
      <c r="J85" s="349">
        <v>35262.910000000003</v>
      </c>
      <c r="K85" s="350">
        <v>10000.014999999999</v>
      </c>
      <c r="L85" s="351">
        <v>10000</v>
      </c>
      <c r="M85" s="351">
        <v>10000</v>
      </c>
      <c r="N85" s="352">
        <v>40000.06</v>
      </c>
      <c r="O85" s="249" t="s">
        <v>467</v>
      </c>
      <c r="P85" s="291">
        <v>-0.7500003749994375</v>
      </c>
    </row>
    <row r="86" spans="1:16" ht="23.65" thickBot="1" x14ac:dyDescent="0.4">
      <c r="A86" s="279">
        <v>15</v>
      </c>
      <c r="B86" s="353"/>
      <c r="C86" s="354"/>
      <c r="D86" s="355" t="s">
        <v>57</v>
      </c>
      <c r="E86" s="356" t="s">
        <v>526</v>
      </c>
      <c r="F86" s="357">
        <v>556902.81999999995</v>
      </c>
      <c r="G86" s="358">
        <v>213093.41</v>
      </c>
      <c r="H86" s="359">
        <v>318238.44</v>
      </c>
      <c r="I86" s="360">
        <v>467737.38</v>
      </c>
      <c r="J86" s="361">
        <v>696491.06</v>
      </c>
      <c r="K86" s="362">
        <v>730092.9800000001</v>
      </c>
      <c r="L86" s="363">
        <v>697000</v>
      </c>
      <c r="M86" s="363">
        <v>797000</v>
      </c>
      <c r="N86" s="364">
        <v>976999.94000000018</v>
      </c>
      <c r="O86" s="239" t="s">
        <v>468</v>
      </c>
      <c r="P86" s="291">
        <v>-0.28659156314789547</v>
      </c>
    </row>
    <row r="87" spans="1:16" ht="34.9" x14ac:dyDescent="0.35">
      <c r="A87" s="251"/>
      <c r="B87" s="250">
        <v>15.1</v>
      </c>
      <c r="C87" s="210"/>
      <c r="D87" s="300" t="s">
        <v>570</v>
      </c>
      <c r="E87" s="222" t="s">
        <v>527</v>
      </c>
      <c r="F87" s="292">
        <v>186224.32</v>
      </c>
      <c r="G87" s="293">
        <v>24321.71</v>
      </c>
      <c r="H87" s="294">
        <v>11580.34</v>
      </c>
      <c r="I87" s="295">
        <v>42044.81</v>
      </c>
      <c r="J87" s="296">
        <v>189795.14</v>
      </c>
      <c r="K87" s="297">
        <v>100000.05999999998</v>
      </c>
      <c r="L87" s="298">
        <v>100000</v>
      </c>
      <c r="M87" s="298">
        <v>100000</v>
      </c>
      <c r="N87" s="299">
        <v>100000.05999999998</v>
      </c>
      <c r="O87" s="249"/>
      <c r="P87" s="291">
        <v>-5.9999963986090421E-7</v>
      </c>
    </row>
    <row r="88" spans="1:16" ht="23.25" x14ac:dyDescent="0.35">
      <c r="A88" s="251"/>
      <c r="B88" s="250">
        <v>15.2</v>
      </c>
      <c r="C88" s="316"/>
      <c r="D88" s="300" t="s">
        <v>457</v>
      </c>
      <c r="E88" s="222" t="s">
        <v>58</v>
      </c>
      <c r="F88" s="292">
        <v>230348.86</v>
      </c>
      <c r="G88" s="293">
        <v>70419.360000000001</v>
      </c>
      <c r="H88" s="294">
        <v>123920.9</v>
      </c>
      <c r="I88" s="295">
        <v>233491.59</v>
      </c>
      <c r="J88" s="296">
        <v>203649.93</v>
      </c>
      <c r="K88" s="297">
        <v>225000</v>
      </c>
      <c r="L88" s="298">
        <v>250000</v>
      </c>
      <c r="M88" s="298">
        <v>250000</v>
      </c>
      <c r="N88" s="299">
        <v>325000.06000000006</v>
      </c>
      <c r="O88" s="239"/>
      <c r="P88" s="291">
        <v>-0.23076937278103904</v>
      </c>
    </row>
    <row r="89" spans="1:16" x14ac:dyDescent="0.35">
      <c r="A89" s="251"/>
      <c r="B89" s="250">
        <v>15.3</v>
      </c>
      <c r="C89" s="210"/>
      <c r="D89" s="300" t="s">
        <v>458</v>
      </c>
      <c r="E89" s="222" t="s">
        <v>59</v>
      </c>
      <c r="F89" s="292">
        <v>35453.35</v>
      </c>
      <c r="G89" s="293">
        <v>24273.55</v>
      </c>
      <c r="H89" s="294">
        <v>17647.849999999999</v>
      </c>
      <c r="I89" s="295">
        <v>34671.730000000003</v>
      </c>
      <c r="J89" s="296">
        <v>28239.5</v>
      </c>
      <c r="K89" s="297">
        <v>55000.059999999983</v>
      </c>
      <c r="L89" s="298">
        <v>60000</v>
      </c>
      <c r="M89" s="298">
        <v>60000</v>
      </c>
      <c r="N89" s="299">
        <v>55000.059999999983</v>
      </c>
      <c r="O89" s="249" t="s">
        <v>468</v>
      </c>
      <c r="P89" s="291">
        <v>9.0907900827744914E-2</v>
      </c>
    </row>
    <row r="90" spans="1:16" ht="58.15" x14ac:dyDescent="0.35">
      <c r="A90" s="251"/>
      <c r="B90" s="250">
        <v>15.4</v>
      </c>
      <c r="C90" s="210"/>
      <c r="D90" s="300" t="s">
        <v>459</v>
      </c>
      <c r="E90" s="222" t="s">
        <v>528</v>
      </c>
      <c r="F90" s="292">
        <v>14200.93</v>
      </c>
      <c r="G90" s="293">
        <v>3082.1</v>
      </c>
      <c r="H90" s="294">
        <v>9095.61</v>
      </c>
      <c r="I90" s="295">
        <v>13421.35</v>
      </c>
      <c r="J90" s="296">
        <v>12573.37</v>
      </c>
      <c r="K90" s="297">
        <v>100000</v>
      </c>
      <c r="L90" s="298">
        <v>20000</v>
      </c>
      <c r="M90" s="298">
        <v>20000</v>
      </c>
      <c r="N90" s="299">
        <v>160000.06</v>
      </c>
      <c r="O90" s="239" t="s">
        <v>467</v>
      </c>
      <c r="P90" s="291">
        <v>-0.87500004687498245</v>
      </c>
    </row>
    <row r="91" spans="1:16" x14ac:dyDescent="0.35">
      <c r="A91" s="251"/>
      <c r="B91" s="250">
        <v>15.5</v>
      </c>
      <c r="C91" s="210"/>
      <c r="D91" s="300" t="s">
        <v>343</v>
      </c>
      <c r="E91" s="222" t="s">
        <v>529</v>
      </c>
      <c r="F91" s="292"/>
      <c r="G91" s="293"/>
      <c r="H91" s="294"/>
      <c r="I91" s="295">
        <v>391.17</v>
      </c>
      <c r="J91" s="296">
        <v>2477.83</v>
      </c>
      <c r="K91" s="297">
        <v>93.04</v>
      </c>
      <c r="L91" s="298">
        <v>2000</v>
      </c>
      <c r="M91" s="298">
        <v>2000</v>
      </c>
      <c r="N91" s="299">
        <v>1999.9400000000003</v>
      </c>
      <c r="O91" s="249"/>
      <c r="P91" s="291">
        <v>3.0000900026916355E-5</v>
      </c>
    </row>
    <row r="92" spans="1:16" ht="34.9" x14ac:dyDescent="0.35">
      <c r="A92" s="251"/>
      <c r="B92" s="250">
        <v>15.6</v>
      </c>
      <c r="C92" s="210"/>
      <c r="D92" s="300" t="s">
        <v>434</v>
      </c>
      <c r="E92" s="222" t="s">
        <v>530</v>
      </c>
      <c r="F92" s="302">
        <v>60967.360000000001</v>
      </c>
      <c r="G92" s="303">
        <v>87022.31</v>
      </c>
      <c r="H92" s="304">
        <v>73773.259999999995</v>
      </c>
      <c r="I92" s="305">
        <v>43745.65</v>
      </c>
      <c r="J92" s="306">
        <v>34084.089999999997</v>
      </c>
      <c r="K92" s="307">
        <v>64999.940000000017</v>
      </c>
      <c r="L92" s="308">
        <v>65000</v>
      </c>
      <c r="M92" s="308">
        <v>65000</v>
      </c>
      <c r="N92" s="309">
        <v>64999.940000000017</v>
      </c>
      <c r="O92" s="239"/>
      <c r="P92" s="291">
        <v>9.2307777488365161E-7</v>
      </c>
    </row>
    <row r="93" spans="1:16" ht="23.25" x14ac:dyDescent="0.35">
      <c r="A93" s="251"/>
      <c r="B93" s="250">
        <v>15.7</v>
      </c>
      <c r="C93" s="210"/>
      <c r="D93" s="300" t="s">
        <v>777</v>
      </c>
      <c r="E93" s="300" t="s">
        <v>776</v>
      </c>
      <c r="F93" s="292">
        <v>2715.63</v>
      </c>
      <c r="G93" s="293">
        <v>373.61</v>
      </c>
      <c r="H93" s="294">
        <v>63.78</v>
      </c>
      <c r="I93" s="295">
        <v>99.67</v>
      </c>
      <c r="J93" s="296">
        <v>1420.63</v>
      </c>
      <c r="K93" s="297">
        <v>2500</v>
      </c>
      <c r="L93" s="298">
        <v>5000</v>
      </c>
      <c r="M93" s="298">
        <v>5000</v>
      </c>
      <c r="N93" s="299">
        <v>15000</v>
      </c>
      <c r="O93" s="249" t="s">
        <v>467</v>
      </c>
      <c r="P93" s="291">
        <v>-0.66666666666666674</v>
      </c>
    </row>
    <row r="94" spans="1:16" ht="23.25" x14ac:dyDescent="0.35">
      <c r="A94" s="251"/>
      <c r="B94" s="250">
        <v>15.8</v>
      </c>
      <c r="C94" s="210"/>
      <c r="D94" s="300" t="s">
        <v>460</v>
      </c>
      <c r="E94" s="222" t="s">
        <v>531</v>
      </c>
      <c r="F94" s="292">
        <v>7203.75</v>
      </c>
      <c r="G94" s="293">
        <v>3600.77</v>
      </c>
      <c r="H94" s="294">
        <v>12097.57</v>
      </c>
      <c r="I94" s="295">
        <v>33384.81</v>
      </c>
      <c r="J94" s="296">
        <v>42878.01</v>
      </c>
      <c r="K94" s="297">
        <v>30000</v>
      </c>
      <c r="L94" s="298">
        <v>30000</v>
      </c>
      <c r="M94" s="298">
        <v>30000</v>
      </c>
      <c r="N94" s="299">
        <v>30000</v>
      </c>
      <c r="O94" s="239"/>
      <c r="P94" s="291">
        <v>0</v>
      </c>
    </row>
    <row r="95" spans="1:16" ht="23.25" x14ac:dyDescent="0.35">
      <c r="A95" s="251"/>
      <c r="B95" s="341">
        <v>15.1</v>
      </c>
      <c r="C95" s="210"/>
      <c r="D95" s="300" t="s">
        <v>461</v>
      </c>
      <c r="E95" s="331" t="s">
        <v>532</v>
      </c>
      <c r="F95" s="292"/>
      <c r="G95" s="293"/>
      <c r="H95" s="294"/>
      <c r="I95" s="295"/>
      <c r="J95" s="296">
        <v>124328.09</v>
      </c>
      <c r="K95" s="297">
        <v>0</v>
      </c>
      <c r="L95" s="298">
        <v>0</v>
      </c>
      <c r="M95" s="298">
        <v>0</v>
      </c>
      <c r="N95" s="299">
        <v>0</v>
      </c>
      <c r="O95" s="249"/>
      <c r="P95" s="291"/>
    </row>
    <row r="96" spans="1:16" x14ac:dyDescent="0.35">
      <c r="A96" s="251"/>
      <c r="B96" s="250">
        <v>15.11</v>
      </c>
      <c r="C96" s="210"/>
      <c r="D96" s="300" t="s">
        <v>462</v>
      </c>
      <c r="E96" s="222" t="s">
        <v>61</v>
      </c>
      <c r="F96" s="292">
        <v>19788.62</v>
      </c>
      <c r="G96" s="293"/>
      <c r="H96" s="294">
        <v>463.3</v>
      </c>
      <c r="I96" s="295">
        <v>9523.1200000000008</v>
      </c>
      <c r="J96" s="296">
        <v>12286.81</v>
      </c>
      <c r="K96" s="297">
        <v>49999.940000000017</v>
      </c>
      <c r="L96" s="298">
        <v>50000</v>
      </c>
      <c r="M96" s="298">
        <v>50000</v>
      </c>
      <c r="N96" s="299">
        <v>49999.940000000017</v>
      </c>
      <c r="O96" s="239"/>
      <c r="P96" s="291">
        <v>1.2000014397717251E-6</v>
      </c>
    </row>
    <row r="97" spans="1:16" ht="34.9" x14ac:dyDescent="0.35">
      <c r="A97" s="251"/>
      <c r="B97" s="250">
        <v>15.12</v>
      </c>
      <c r="C97" s="210"/>
      <c r="D97" s="300" t="s">
        <v>463</v>
      </c>
      <c r="E97" s="222" t="s">
        <v>533</v>
      </c>
      <c r="F97" s="292"/>
      <c r="G97" s="293"/>
      <c r="H97" s="294">
        <v>8941.1200000000008</v>
      </c>
      <c r="I97" s="295">
        <v>28950.26</v>
      </c>
      <c r="J97" s="296">
        <v>20528.759999999998</v>
      </c>
      <c r="K97" s="297">
        <v>12500.03</v>
      </c>
      <c r="L97" s="298">
        <v>25000</v>
      </c>
      <c r="M97" s="298">
        <v>25000</v>
      </c>
      <c r="N97" s="299">
        <v>25000.06</v>
      </c>
      <c r="O97" s="249"/>
      <c r="P97" s="291">
        <v>-2.3999942401209395E-6</v>
      </c>
    </row>
    <row r="98" spans="1:16" x14ac:dyDescent="0.35">
      <c r="A98" s="251"/>
      <c r="B98" s="250">
        <v>15.13</v>
      </c>
      <c r="C98" s="210"/>
      <c r="D98" s="300" t="s">
        <v>546</v>
      </c>
      <c r="E98" s="222" t="s">
        <v>534</v>
      </c>
      <c r="F98" s="292"/>
      <c r="G98" s="293"/>
      <c r="H98" s="294">
        <v>60654.71</v>
      </c>
      <c r="I98" s="295"/>
      <c r="J98" s="296"/>
      <c r="K98" s="297">
        <v>79999.940000000017</v>
      </c>
      <c r="L98" s="298">
        <v>0</v>
      </c>
      <c r="M98" s="298">
        <v>0</v>
      </c>
      <c r="N98" s="299">
        <v>79999.940000000017</v>
      </c>
      <c r="O98" s="239" t="s">
        <v>467</v>
      </c>
      <c r="P98" s="291">
        <v>-1</v>
      </c>
    </row>
    <row r="99" spans="1:16" x14ac:dyDescent="0.35">
      <c r="A99" s="251"/>
      <c r="B99" s="250">
        <v>15.14</v>
      </c>
      <c r="C99" s="210"/>
      <c r="D99" s="300" t="s">
        <v>547</v>
      </c>
      <c r="E99" s="222" t="s">
        <v>535</v>
      </c>
      <c r="F99" s="292"/>
      <c r="G99" s="293"/>
      <c r="H99" s="294"/>
      <c r="I99" s="295">
        <v>28013.22</v>
      </c>
      <c r="J99" s="296">
        <v>24228.9</v>
      </c>
      <c r="K99" s="297">
        <v>9999.9699999999993</v>
      </c>
      <c r="L99" s="298">
        <v>40000</v>
      </c>
      <c r="M99" s="298">
        <v>40000</v>
      </c>
      <c r="N99" s="299">
        <v>19999.939999999999</v>
      </c>
      <c r="O99" s="249" t="s">
        <v>468</v>
      </c>
      <c r="P99" s="291">
        <v>1.0000060000180002</v>
      </c>
    </row>
    <row r="100" spans="1:16" ht="23.65" thickBot="1" x14ac:dyDescent="0.4">
      <c r="A100" s="251"/>
      <c r="B100" s="250">
        <v>15.15</v>
      </c>
      <c r="C100" s="210"/>
      <c r="D100" s="300" t="s">
        <v>571</v>
      </c>
      <c r="E100" s="222" t="s">
        <v>765</v>
      </c>
      <c r="F100" s="292"/>
      <c r="G100" s="293"/>
      <c r="H100" s="294"/>
      <c r="I100" s="295"/>
      <c r="J100" s="296"/>
      <c r="K100" s="297"/>
      <c r="L100" s="298">
        <v>50000</v>
      </c>
      <c r="M100" s="298">
        <v>150000</v>
      </c>
      <c r="N100" s="299"/>
      <c r="O100" s="239" t="s">
        <v>468</v>
      </c>
      <c r="P100" s="291"/>
    </row>
    <row r="101" spans="1:16" ht="12" thickBot="1" x14ac:dyDescent="0.4">
      <c r="A101" s="279">
        <v>21</v>
      </c>
      <c r="B101" s="280"/>
      <c r="C101" s="281"/>
      <c r="D101" s="314" t="s">
        <v>771</v>
      </c>
      <c r="E101" s="315" t="s">
        <v>778</v>
      </c>
      <c r="F101" s="283">
        <v>183561.88</v>
      </c>
      <c r="G101" s="284">
        <v>2483.0500000000002</v>
      </c>
      <c r="H101" s="285">
        <v>89085.77</v>
      </c>
      <c r="I101" s="286">
        <v>255855.17</v>
      </c>
      <c r="J101" s="287">
        <v>59228.86</v>
      </c>
      <c r="K101" s="288">
        <v>92989.58</v>
      </c>
      <c r="L101" s="289">
        <v>300000</v>
      </c>
      <c r="M101" s="289">
        <v>300000</v>
      </c>
      <c r="N101" s="290">
        <v>300000</v>
      </c>
      <c r="O101" s="249" t="s">
        <v>468</v>
      </c>
      <c r="P101" s="291">
        <v>0</v>
      </c>
    </row>
    <row r="102" spans="1:16" ht="12" thickBot="1" x14ac:dyDescent="0.4">
      <c r="A102" s="251"/>
      <c r="B102" s="250">
        <v>21.1</v>
      </c>
      <c r="C102" s="210"/>
      <c r="D102" s="300" t="s">
        <v>771</v>
      </c>
      <c r="E102" s="222" t="s">
        <v>778</v>
      </c>
      <c r="F102" s="292">
        <v>1421.8100000000002</v>
      </c>
      <c r="G102" s="293"/>
      <c r="H102" s="294">
        <v>4000.2</v>
      </c>
      <c r="I102" s="295">
        <v>49725.25</v>
      </c>
      <c r="J102" s="296">
        <v>59228.86</v>
      </c>
      <c r="K102" s="297">
        <v>92989.58</v>
      </c>
      <c r="L102" s="298">
        <v>300000</v>
      </c>
      <c r="M102" s="298">
        <v>300000</v>
      </c>
      <c r="N102" s="299">
        <v>49999.940000000017</v>
      </c>
      <c r="O102" s="239" t="s">
        <v>468</v>
      </c>
      <c r="P102" s="291">
        <v>5.0000072000086382</v>
      </c>
    </row>
    <row r="103" spans="1:16" ht="23.65" thickBot="1" x14ac:dyDescent="0.4">
      <c r="A103" s="279">
        <v>16</v>
      </c>
      <c r="B103" s="280"/>
      <c r="C103" s="281"/>
      <c r="D103" s="314" t="s">
        <v>62</v>
      </c>
      <c r="E103" s="315" t="s">
        <v>536</v>
      </c>
      <c r="F103" s="283">
        <v>183561.88</v>
      </c>
      <c r="G103" s="284">
        <v>2483.0500000000002</v>
      </c>
      <c r="H103" s="285">
        <v>89085.77</v>
      </c>
      <c r="I103" s="286">
        <v>255855.17</v>
      </c>
      <c r="J103" s="287">
        <v>228035.46</v>
      </c>
      <c r="K103" s="288">
        <v>225000</v>
      </c>
      <c r="L103" s="289">
        <v>400000</v>
      </c>
      <c r="M103" s="289">
        <v>400000</v>
      </c>
      <c r="N103" s="290">
        <v>300000</v>
      </c>
      <c r="O103" s="249" t="s">
        <v>468</v>
      </c>
      <c r="P103" s="291">
        <v>0.33333333333333326</v>
      </c>
    </row>
    <row r="104" spans="1:16" ht="23.25" x14ac:dyDescent="0.35">
      <c r="A104" s="251"/>
      <c r="B104" s="250">
        <v>16.100000000000001</v>
      </c>
      <c r="C104" s="210"/>
      <c r="D104" s="300" t="s">
        <v>62</v>
      </c>
      <c r="E104" s="222" t="s">
        <v>536</v>
      </c>
      <c r="F104" s="292"/>
      <c r="G104" s="293"/>
      <c r="H104" s="294"/>
      <c r="I104" s="295"/>
      <c r="J104" s="296">
        <v>228035.46</v>
      </c>
      <c r="K104" s="297">
        <v>125000</v>
      </c>
      <c r="L104" s="298">
        <v>200000</v>
      </c>
      <c r="M104" s="298">
        <v>200000</v>
      </c>
      <c r="N104" s="299">
        <v>100000.05999999998</v>
      </c>
      <c r="O104" s="239" t="s">
        <v>468</v>
      </c>
      <c r="P104" s="291">
        <v>0.99999880000072028</v>
      </c>
    </row>
    <row r="105" spans="1:16" ht="12" thickBot="1" x14ac:dyDescent="0.4">
      <c r="A105" s="251"/>
      <c r="B105" s="250">
        <v>16.2</v>
      </c>
      <c r="C105" s="210"/>
      <c r="D105" s="300" t="s">
        <v>552</v>
      </c>
      <c r="E105" s="222" t="s">
        <v>553</v>
      </c>
      <c r="F105" s="292"/>
      <c r="G105" s="293"/>
      <c r="H105" s="294"/>
      <c r="I105" s="295"/>
      <c r="J105" s="296"/>
      <c r="K105" s="297">
        <v>100000</v>
      </c>
      <c r="L105" s="298">
        <v>200000</v>
      </c>
      <c r="M105" s="298">
        <v>200000</v>
      </c>
      <c r="N105" s="299">
        <v>199999.94</v>
      </c>
      <c r="O105" s="249"/>
      <c r="P105" s="291">
        <v>3.0000008988118054E-7</v>
      </c>
    </row>
    <row r="106" spans="1:16" ht="12" thickBot="1" x14ac:dyDescent="0.4">
      <c r="A106" s="279">
        <v>17</v>
      </c>
      <c r="B106" s="280"/>
      <c r="C106" s="281"/>
      <c r="D106" s="314" t="s">
        <v>63</v>
      </c>
      <c r="E106" s="315" t="s">
        <v>537</v>
      </c>
      <c r="F106" s="283">
        <v>10342.91</v>
      </c>
      <c r="G106" s="284">
        <v>6000</v>
      </c>
      <c r="H106" s="285">
        <v>181070.35</v>
      </c>
      <c r="I106" s="286">
        <v>243709.47999999998</v>
      </c>
      <c r="J106" s="287">
        <v>287514.43</v>
      </c>
      <c r="K106" s="288">
        <v>293748.28499999997</v>
      </c>
      <c r="L106" s="289">
        <v>295000</v>
      </c>
      <c r="M106" s="289">
        <v>360000</v>
      </c>
      <c r="N106" s="290">
        <v>268000.06</v>
      </c>
      <c r="O106" s="239" t="s">
        <v>468</v>
      </c>
      <c r="P106" s="291">
        <v>0.1007460222210399</v>
      </c>
    </row>
    <row r="107" spans="1:16" ht="23.25" x14ac:dyDescent="0.35">
      <c r="A107" s="367"/>
      <c r="B107" s="376">
        <v>15.1</v>
      </c>
      <c r="C107" s="210"/>
      <c r="D107" s="222" t="s">
        <v>64</v>
      </c>
      <c r="E107" s="222" t="s">
        <v>538</v>
      </c>
      <c r="F107" s="377">
        <v>10342.91</v>
      </c>
      <c r="G107" s="378">
        <v>6000</v>
      </c>
      <c r="H107" s="379">
        <v>176940</v>
      </c>
      <c r="I107" s="380">
        <v>243182.55</v>
      </c>
      <c r="J107" s="381">
        <v>245360.34</v>
      </c>
      <c r="K107" s="382">
        <v>274998.24</v>
      </c>
      <c r="L107" s="383">
        <v>270000</v>
      </c>
      <c r="M107" s="383">
        <v>260000</v>
      </c>
      <c r="N107" s="384">
        <v>243000</v>
      </c>
      <c r="O107" s="249" t="s">
        <v>468</v>
      </c>
      <c r="P107" s="291">
        <v>0.11111111111111116</v>
      </c>
    </row>
    <row r="108" spans="1:16" ht="35.25" thickBot="1" x14ac:dyDescent="0.4">
      <c r="A108" s="385"/>
      <c r="B108" s="328">
        <v>15.2</v>
      </c>
      <c r="C108" s="329"/>
      <c r="D108" s="344" t="s">
        <v>550</v>
      </c>
      <c r="E108" s="344" t="s">
        <v>551</v>
      </c>
      <c r="F108" s="345"/>
      <c r="G108" s="346"/>
      <c r="H108" s="347">
        <v>4130.3500000000004</v>
      </c>
      <c r="I108" s="348">
        <v>526.92999999999995</v>
      </c>
      <c r="J108" s="349">
        <v>42154.09</v>
      </c>
      <c r="K108" s="350">
        <v>18750.045000000002</v>
      </c>
      <c r="L108" s="351">
        <v>25000</v>
      </c>
      <c r="M108" s="351">
        <v>100000</v>
      </c>
      <c r="N108" s="352">
        <v>25000.06</v>
      </c>
      <c r="O108" s="239"/>
      <c r="P108" s="291">
        <v>-2.3999942401209395E-6</v>
      </c>
    </row>
    <row r="109" spans="1:16" ht="23.65" thickBot="1" x14ac:dyDescent="0.4">
      <c r="A109" s="385">
        <v>18</v>
      </c>
      <c r="B109" s="353"/>
      <c r="C109" s="329"/>
      <c r="D109" s="355" t="s">
        <v>65</v>
      </c>
      <c r="E109" s="356" t="s">
        <v>66</v>
      </c>
      <c r="F109" s="357">
        <v>168111.2</v>
      </c>
      <c r="G109" s="358">
        <v>53468.24</v>
      </c>
      <c r="H109" s="359">
        <v>27194.73</v>
      </c>
      <c r="I109" s="360">
        <v>56535.3</v>
      </c>
      <c r="J109" s="361">
        <v>118287.49</v>
      </c>
      <c r="K109" s="362">
        <v>181414</v>
      </c>
      <c r="L109" s="363">
        <v>175000</v>
      </c>
      <c r="M109" s="363">
        <v>175000</v>
      </c>
      <c r="N109" s="364">
        <v>175000.06</v>
      </c>
      <c r="O109" s="249"/>
      <c r="P109" s="291">
        <v>-3.4285702532610429E-7</v>
      </c>
    </row>
    <row r="110" spans="1:16" ht="23.25" x14ac:dyDescent="0.35">
      <c r="A110" s="386"/>
      <c r="B110" s="387">
        <v>16.100000000000001</v>
      </c>
      <c r="C110" s="388"/>
      <c r="D110" s="389" t="s">
        <v>65</v>
      </c>
      <c r="E110" s="389" t="s">
        <v>66</v>
      </c>
      <c r="F110" s="377">
        <v>70959.320000000007</v>
      </c>
      <c r="G110" s="378">
        <v>15000</v>
      </c>
      <c r="H110" s="379">
        <v>9000</v>
      </c>
      <c r="I110" s="380">
        <v>27000</v>
      </c>
      <c r="J110" s="381">
        <v>30000</v>
      </c>
      <c r="K110" s="382">
        <v>85000</v>
      </c>
      <c r="L110" s="383">
        <v>100000</v>
      </c>
      <c r="M110" s="383">
        <v>100000</v>
      </c>
      <c r="N110" s="384">
        <v>75000</v>
      </c>
      <c r="O110" s="239" t="s">
        <v>468</v>
      </c>
      <c r="P110" s="291">
        <v>0.33333333333333326</v>
      </c>
    </row>
    <row r="111" spans="1:16" ht="46.9" thickBot="1" x14ac:dyDescent="0.4">
      <c r="A111" s="367"/>
      <c r="B111" s="250">
        <v>16.2</v>
      </c>
      <c r="C111" s="210"/>
      <c r="D111" s="222" t="s">
        <v>464</v>
      </c>
      <c r="E111" s="222" t="s">
        <v>539</v>
      </c>
      <c r="F111" s="292">
        <v>97151.88</v>
      </c>
      <c r="G111" s="293">
        <v>38468.239999999998</v>
      </c>
      <c r="H111" s="368">
        <v>18194.73</v>
      </c>
      <c r="I111" s="369">
        <v>29535.3</v>
      </c>
      <c r="J111" s="370">
        <v>88287.49</v>
      </c>
      <c r="K111" s="297">
        <v>96414</v>
      </c>
      <c r="L111" s="298">
        <v>75000</v>
      </c>
      <c r="M111" s="298">
        <v>75000</v>
      </c>
      <c r="N111" s="299">
        <v>100000.05999999998</v>
      </c>
      <c r="O111" s="249" t="s">
        <v>467</v>
      </c>
      <c r="P111" s="291">
        <v>-0.25000044999972992</v>
      </c>
    </row>
    <row r="112" spans="1:16" ht="12" thickBot="1" x14ac:dyDescent="0.4">
      <c r="A112" s="279">
        <v>19</v>
      </c>
      <c r="B112" s="280"/>
      <c r="C112" s="281"/>
      <c r="D112" s="314" t="s">
        <v>67</v>
      </c>
      <c r="E112" s="315" t="s">
        <v>540</v>
      </c>
      <c r="F112" s="283">
        <v>800</v>
      </c>
      <c r="G112" s="284"/>
      <c r="H112" s="285">
        <v>100</v>
      </c>
      <c r="I112" s="286">
        <v>2700</v>
      </c>
      <c r="J112" s="287">
        <v>2100</v>
      </c>
      <c r="K112" s="288">
        <v>5000</v>
      </c>
      <c r="L112" s="289">
        <v>5000</v>
      </c>
      <c r="M112" s="289">
        <v>5000</v>
      </c>
      <c r="N112" s="290">
        <v>4999.9299999999994</v>
      </c>
      <c r="O112" s="239"/>
      <c r="P112" s="291">
        <v>1.4000196002950105E-5</v>
      </c>
    </row>
    <row r="113" spans="1:16" ht="23.65" thickBot="1" x14ac:dyDescent="0.4">
      <c r="A113" s="390">
        <v>20</v>
      </c>
      <c r="B113" s="280"/>
      <c r="C113" s="281"/>
      <c r="D113" s="391" t="s">
        <v>68</v>
      </c>
      <c r="E113" s="315" t="s">
        <v>541</v>
      </c>
      <c r="F113" s="283">
        <v>0</v>
      </c>
      <c r="G113" s="284">
        <v>0</v>
      </c>
      <c r="H113" s="285">
        <v>0</v>
      </c>
      <c r="I113" s="286">
        <v>0</v>
      </c>
      <c r="J113" s="287">
        <v>0</v>
      </c>
      <c r="K113" s="288">
        <v>5000</v>
      </c>
      <c r="L113" s="289">
        <v>200000</v>
      </c>
      <c r="M113" s="289">
        <v>200000</v>
      </c>
      <c r="N113" s="290">
        <v>300000</v>
      </c>
      <c r="O113" s="249" t="s">
        <v>467</v>
      </c>
      <c r="P113" s="291">
        <v>-0.33333333333333337</v>
      </c>
    </row>
    <row r="114" spans="1:16" x14ac:dyDescent="0.35">
      <c r="A114" s="367"/>
      <c r="B114" s="250">
        <v>20.100000000000001</v>
      </c>
      <c r="C114" s="210"/>
      <c r="D114" s="327" t="s">
        <v>69</v>
      </c>
      <c r="E114" s="222" t="s">
        <v>542</v>
      </c>
      <c r="F114" s="292"/>
      <c r="G114" s="293"/>
      <c r="H114" s="368"/>
      <c r="I114" s="369"/>
      <c r="J114" s="370"/>
      <c r="K114" s="297"/>
      <c r="L114" s="298">
        <v>100000</v>
      </c>
      <c r="M114" s="298">
        <v>100000</v>
      </c>
      <c r="N114" s="299">
        <v>199999.94</v>
      </c>
      <c r="O114" s="239" t="s">
        <v>467</v>
      </c>
      <c r="P114" s="291">
        <v>-0.49999984999995506</v>
      </c>
    </row>
    <row r="115" spans="1:16" x14ac:dyDescent="0.35">
      <c r="A115" s="367"/>
      <c r="B115" s="250">
        <v>20.2</v>
      </c>
      <c r="C115" s="210"/>
      <c r="D115" s="327" t="s">
        <v>70</v>
      </c>
      <c r="E115" s="222" t="s">
        <v>71</v>
      </c>
      <c r="F115" s="292"/>
      <c r="G115" s="293"/>
      <c r="H115" s="368"/>
      <c r="I115" s="369"/>
      <c r="J115" s="370"/>
      <c r="K115" s="297">
        <v>5000</v>
      </c>
      <c r="L115" s="298">
        <v>100000</v>
      </c>
      <c r="M115" s="298">
        <v>100000</v>
      </c>
      <c r="N115" s="299">
        <v>100000.05999999998</v>
      </c>
      <c r="O115" s="249"/>
      <c r="P115" s="291">
        <v>-5.9999963986090421E-7</v>
      </c>
    </row>
    <row r="116" spans="1:16" x14ac:dyDescent="0.35">
      <c r="A116" s="367"/>
      <c r="B116" s="250"/>
      <c r="C116" s="210"/>
      <c r="D116" s="327"/>
      <c r="E116" s="300"/>
      <c r="F116" s="292"/>
      <c r="G116" s="392"/>
      <c r="H116" s="393"/>
      <c r="I116" s="394"/>
      <c r="J116" s="395"/>
      <c r="K116" s="396"/>
      <c r="L116" s="397"/>
      <c r="M116" s="397"/>
      <c r="N116" s="398"/>
      <c r="O116" s="239"/>
      <c r="P116" s="291"/>
    </row>
    <row r="117" spans="1:16" x14ac:dyDescent="0.35">
      <c r="A117" s="268" t="s">
        <v>72</v>
      </c>
      <c r="B117" s="399"/>
      <c r="C117" s="268"/>
      <c r="D117" s="222"/>
      <c r="E117" s="400" t="s">
        <v>73</v>
      </c>
      <c r="F117" s="401">
        <v>12928047.77</v>
      </c>
      <c r="G117" s="392">
        <v>7405468.21</v>
      </c>
      <c r="H117" s="393">
        <v>9045604.0199999996</v>
      </c>
      <c r="I117" s="394">
        <v>11594961.980000002</v>
      </c>
      <c r="J117" s="395">
        <v>13462799.840000002</v>
      </c>
      <c r="K117" s="396">
        <v>15065252.190000001</v>
      </c>
      <c r="L117" s="397">
        <v>17204962.890000001</v>
      </c>
      <c r="M117" s="397">
        <v>17578937.990000002</v>
      </c>
      <c r="N117" s="398">
        <v>16860514.349999998</v>
      </c>
      <c r="O117" s="249" t="s">
        <v>468</v>
      </c>
      <c r="P117" s="291">
        <v>2.0429302027787921E-2</v>
      </c>
    </row>
    <row r="118" spans="1:16" x14ac:dyDescent="0.35">
      <c r="A118" s="268"/>
      <c r="B118" s="399"/>
      <c r="C118" s="268"/>
      <c r="D118" s="222"/>
      <c r="E118" s="400"/>
      <c r="F118" s="292"/>
      <c r="G118" s="392"/>
      <c r="H118" s="368"/>
      <c r="I118" s="369"/>
      <c r="J118" s="370"/>
      <c r="K118" s="297"/>
      <c r="L118" s="298"/>
      <c r="M118" s="298"/>
      <c r="N118" s="299"/>
      <c r="O118" s="239"/>
      <c r="P118" s="291"/>
    </row>
    <row r="119" spans="1:16" ht="23.25" x14ac:dyDescent="0.35">
      <c r="A119" s="268"/>
      <c r="B119" s="399"/>
      <c r="C119" s="268"/>
      <c r="D119" s="222" t="s">
        <v>74</v>
      </c>
      <c r="E119" s="222" t="s">
        <v>75</v>
      </c>
      <c r="F119" s="292"/>
      <c r="G119" s="392"/>
      <c r="H119" s="368"/>
      <c r="I119" s="369"/>
      <c r="J119" s="370">
        <v>403068.94</v>
      </c>
      <c r="K119" s="297">
        <v>12939</v>
      </c>
      <c r="L119" s="298"/>
      <c r="M119" s="298"/>
      <c r="N119" s="299"/>
      <c r="O119" s="249"/>
      <c r="P119" s="291"/>
    </row>
    <row r="120" spans="1:16" x14ac:dyDescent="0.35">
      <c r="A120" s="268"/>
      <c r="B120" s="399"/>
      <c r="C120" s="268"/>
      <c r="D120" s="222"/>
      <c r="E120" s="400"/>
      <c r="F120" s="292"/>
      <c r="G120" s="392"/>
      <c r="H120" s="368"/>
      <c r="I120" s="369"/>
      <c r="J120" s="370"/>
      <c r="K120" s="297"/>
      <c r="L120" s="298"/>
      <c r="M120" s="298"/>
      <c r="N120" s="299"/>
      <c r="O120" s="239"/>
      <c r="P120" s="291"/>
    </row>
    <row r="121" spans="1:16" ht="23.25" x14ac:dyDescent="0.35">
      <c r="A121" s="268" t="s">
        <v>545</v>
      </c>
      <c r="B121" s="399"/>
      <c r="C121" s="268"/>
      <c r="D121" s="222"/>
      <c r="E121" s="400" t="s">
        <v>543</v>
      </c>
      <c r="F121" s="402">
        <v>3549236.4900000021</v>
      </c>
      <c r="G121" s="403">
        <v>4931744.7599999988</v>
      </c>
      <c r="H121" s="404">
        <v>3612230.5599999987</v>
      </c>
      <c r="I121" s="405">
        <v>779578.21999999695</v>
      </c>
      <c r="J121" s="406">
        <v>3176769.4299999992</v>
      </c>
      <c r="K121" s="407">
        <v>1438522.8399999961</v>
      </c>
      <c r="L121" s="408">
        <v>-1172962.8900000006</v>
      </c>
      <c r="M121" s="408">
        <v>-2108937.9900000021</v>
      </c>
      <c r="N121" s="409">
        <v>-1985514.3499999978</v>
      </c>
      <c r="O121" s="249" t="s">
        <v>468</v>
      </c>
      <c r="P121" s="291">
        <v>-0.40923978212496837</v>
      </c>
    </row>
    <row r="122" spans="1:16" ht="12" thickBot="1" x14ac:dyDescent="0.4">
      <c r="A122" s="268"/>
      <c r="B122" s="399"/>
      <c r="C122" s="268"/>
      <c r="D122" s="222"/>
      <c r="E122" s="400"/>
      <c r="F122" s="292"/>
      <c r="G122" s="293"/>
      <c r="H122" s="368"/>
      <c r="I122" s="369"/>
      <c r="J122" s="370"/>
      <c r="K122" s="297"/>
      <c r="L122" s="298"/>
      <c r="M122" s="298"/>
      <c r="N122" s="299"/>
      <c r="O122" s="239"/>
    </row>
    <row r="123" spans="1:16" ht="35.25" thickBot="1" x14ac:dyDescent="0.4">
      <c r="A123" s="390">
        <v>22</v>
      </c>
      <c r="B123" s="280"/>
      <c r="C123" s="281"/>
      <c r="D123" s="391" t="s">
        <v>560</v>
      </c>
      <c r="E123" s="315" t="s">
        <v>779</v>
      </c>
      <c r="F123" s="283"/>
      <c r="G123" s="284"/>
      <c r="H123" s="285"/>
      <c r="I123" s="286"/>
      <c r="J123" s="287">
        <v>0</v>
      </c>
      <c r="K123" s="288">
        <v>0</v>
      </c>
      <c r="L123" s="289">
        <v>120000</v>
      </c>
      <c r="M123" s="289">
        <v>500000</v>
      </c>
      <c r="N123" s="290"/>
      <c r="O123" s="249" t="s">
        <v>468</v>
      </c>
      <c r="P123" s="291"/>
    </row>
    <row r="124" spans="1:16" x14ac:dyDescent="0.35">
      <c r="A124" s="268"/>
      <c r="B124" s="399"/>
      <c r="C124" s="268"/>
      <c r="D124" s="400"/>
      <c r="E124" s="400"/>
      <c r="F124" s="292"/>
      <c r="G124" s="293"/>
      <c r="H124" s="368"/>
      <c r="I124" s="369"/>
      <c r="J124" s="370"/>
      <c r="K124" s="297"/>
      <c r="L124" s="298"/>
      <c r="M124" s="298"/>
      <c r="N124" s="299"/>
      <c r="O124" s="239"/>
    </row>
    <row r="125" spans="1:16" ht="23.65" thickBot="1" x14ac:dyDescent="0.4">
      <c r="A125" s="240" t="s">
        <v>76</v>
      </c>
      <c r="B125" s="410"/>
      <c r="C125" s="268"/>
      <c r="D125" s="400"/>
      <c r="E125" s="400" t="s">
        <v>544</v>
      </c>
      <c r="F125" s="411">
        <v>3549236.4900000021</v>
      </c>
      <c r="G125" s="412">
        <v>4931744.7599999988</v>
      </c>
      <c r="H125" s="404">
        <v>3612230.5599999987</v>
      </c>
      <c r="I125" s="405">
        <v>779578.21999999695</v>
      </c>
      <c r="J125" s="406">
        <v>3176769.4299999992</v>
      </c>
      <c r="K125" s="413">
        <v>1438522.8399999961</v>
      </c>
      <c r="L125" s="414">
        <v>-1292962.8900000006</v>
      </c>
      <c r="M125" s="414">
        <v>-2608937.9900000021</v>
      </c>
      <c r="N125" s="415">
        <v>-1985514.3499999978</v>
      </c>
      <c r="O125" s="249" t="s">
        <v>468</v>
      </c>
      <c r="P125" s="291">
        <v>-0.34880204215094091</v>
      </c>
    </row>
  </sheetData>
  <mergeCells count="1">
    <mergeCell ref="A34:A36"/>
  </mergeCells>
  <pageMargins left="0.23622047244094499" right="0.23622047244094499" top="0.74803149606299202" bottom="0.74803149606299202" header="0.31496062992126" footer="0.31496062992126"/>
  <pageSetup scale="92" fitToHeight="0" orientation="landscape" verticalDpi="4294967295" r:id="rId1"/>
  <headerFooter>
    <oddFooter>&amp;R&amp;"-,Bold"&amp;8&amp;K7030A0&amp;P of &amp;N</oddFooter>
  </headerFooter>
  <rowBreaks count="9" manualBreakCount="9">
    <brk id="15" max="13" man="1"/>
    <brk id="26" max="13" man="1"/>
    <brk id="36" max="13" man="1"/>
    <brk id="51" max="13" man="1"/>
    <brk id="69" max="13" man="1"/>
    <brk id="78" max="13" man="1"/>
    <brk id="85" max="13" man="1"/>
    <brk id="100" max="13" man="1"/>
    <brk id="111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1D24-3DA6-49C7-91E3-DD3545839DF3}">
  <dimension ref="A1:K22"/>
  <sheetViews>
    <sheetView showGridLines="0" topLeftCell="A8" zoomScale="130" zoomScaleNormal="130" workbookViewId="0">
      <selection activeCell="F18" sqref="F18"/>
    </sheetView>
  </sheetViews>
  <sheetFormatPr defaultColWidth="11.33203125" defaultRowHeight="14.25" x14ac:dyDescent="0.45"/>
  <cols>
    <col min="3" max="3" width="64.265625" customWidth="1"/>
    <col min="4" max="4" width="15.59765625" customWidth="1"/>
    <col min="5" max="5" width="14.265625" bestFit="1" customWidth="1"/>
    <col min="6" max="6" width="17.33203125" customWidth="1"/>
    <col min="7" max="7" width="79.59765625" customWidth="1"/>
    <col min="8" max="8" width="86.796875" customWidth="1"/>
    <col min="10" max="10" width="43.73046875" customWidth="1"/>
  </cols>
  <sheetData>
    <row r="1" spans="1:11" x14ac:dyDescent="0.45">
      <c r="A1" s="31" t="s">
        <v>159</v>
      </c>
      <c r="B1" s="31"/>
      <c r="C1" s="31"/>
      <c r="D1" s="31"/>
      <c r="E1" s="31"/>
      <c r="F1" s="31"/>
    </row>
    <row r="3" spans="1:11" ht="28.5" x14ac:dyDescent="0.45">
      <c r="B3" s="83" t="s">
        <v>78</v>
      </c>
      <c r="C3" s="83" t="s">
        <v>79</v>
      </c>
      <c r="D3" s="86">
        <v>2023</v>
      </c>
      <c r="E3" s="26" t="s">
        <v>5</v>
      </c>
      <c r="F3" s="26" t="s">
        <v>6</v>
      </c>
      <c r="G3" s="26" t="s">
        <v>80</v>
      </c>
      <c r="H3" s="26" t="s">
        <v>81</v>
      </c>
      <c r="J3" s="5"/>
    </row>
    <row r="4" spans="1:11" ht="79.150000000000006" customHeight="1" x14ac:dyDescent="0.45">
      <c r="B4" s="24">
        <v>7.1</v>
      </c>
      <c r="C4" s="40" t="s">
        <v>160</v>
      </c>
      <c r="D4" s="141">
        <v>400000</v>
      </c>
      <c r="E4" s="36">
        <v>360000</v>
      </c>
      <c r="F4" s="37">
        <f>E4</f>
        <v>360000</v>
      </c>
      <c r="G4" s="4" t="s">
        <v>161</v>
      </c>
      <c r="H4" s="39" t="s">
        <v>162</v>
      </c>
      <c r="J4" s="3"/>
    </row>
    <row r="5" spans="1:11" ht="66.75" customHeight="1" x14ac:dyDescent="0.45">
      <c r="B5" s="24">
        <v>7.2</v>
      </c>
      <c r="C5" s="40" t="s">
        <v>163</v>
      </c>
      <c r="D5" s="141">
        <v>100000</v>
      </c>
      <c r="E5" s="38">
        <v>100000</v>
      </c>
      <c r="F5" s="37">
        <v>100000</v>
      </c>
      <c r="G5" s="4" t="s">
        <v>157</v>
      </c>
      <c r="H5" s="39" t="s">
        <v>158</v>
      </c>
      <c r="J5" s="3"/>
    </row>
    <row r="6" spans="1:11" ht="94.15" customHeight="1" x14ac:dyDescent="0.45">
      <c r="B6" s="24">
        <v>7.3</v>
      </c>
      <c r="C6" s="40" t="s">
        <v>164</v>
      </c>
      <c r="D6" s="141">
        <v>325000</v>
      </c>
      <c r="E6" s="38">
        <v>325000</v>
      </c>
      <c r="F6" s="37">
        <v>325000</v>
      </c>
      <c r="G6" s="4" t="s">
        <v>157</v>
      </c>
      <c r="H6" s="39" t="s">
        <v>158</v>
      </c>
      <c r="J6" s="3"/>
    </row>
    <row r="7" spans="1:11" ht="85.9" customHeight="1" x14ac:dyDescent="0.45">
      <c r="B7" s="24">
        <v>7.4</v>
      </c>
      <c r="C7" s="40" t="s">
        <v>165</v>
      </c>
      <c r="D7" s="141">
        <v>185000</v>
      </c>
      <c r="E7" s="38">
        <v>85000</v>
      </c>
      <c r="F7" s="37">
        <v>85000</v>
      </c>
      <c r="G7" s="4"/>
      <c r="H7" s="39"/>
      <c r="J7" s="3"/>
    </row>
    <row r="8" spans="1:11" ht="133.15" customHeight="1" x14ac:dyDescent="0.45">
      <c r="B8" s="24">
        <v>7.5</v>
      </c>
      <c r="C8" s="40" t="s">
        <v>166</v>
      </c>
      <c r="D8" s="141">
        <v>250000</v>
      </c>
      <c r="E8" s="38">
        <v>200000</v>
      </c>
      <c r="F8" s="38">
        <v>200000</v>
      </c>
      <c r="G8" s="4" t="s">
        <v>167</v>
      </c>
      <c r="H8" s="39" t="s">
        <v>162</v>
      </c>
      <c r="J8" s="3"/>
    </row>
    <row r="9" spans="1:11" ht="114.75" customHeight="1" x14ac:dyDescent="0.45">
      <c r="B9" s="24">
        <v>7.6</v>
      </c>
      <c r="C9" s="40" t="s">
        <v>168</v>
      </c>
      <c r="D9" s="35">
        <v>360000</v>
      </c>
      <c r="E9" s="38">
        <v>300000</v>
      </c>
      <c r="F9" s="38">
        <f>E9</f>
        <v>300000</v>
      </c>
      <c r="G9" s="4" t="s">
        <v>169</v>
      </c>
      <c r="H9" s="39" t="s">
        <v>170</v>
      </c>
      <c r="J9" s="3"/>
      <c r="K9" t="s">
        <v>171</v>
      </c>
    </row>
    <row r="10" spans="1:11" ht="60" customHeight="1" x14ac:dyDescent="0.45">
      <c r="B10" s="24">
        <v>7.7</v>
      </c>
      <c r="C10" s="40" t="s">
        <v>172</v>
      </c>
      <c r="D10" s="141">
        <v>60000</v>
      </c>
      <c r="E10" s="38">
        <v>60000</v>
      </c>
      <c r="F10" s="38">
        <v>60000</v>
      </c>
      <c r="G10" s="4" t="s">
        <v>157</v>
      </c>
      <c r="H10" s="39" t="s">
        <v>158</v>
      </c>
      <c r="J10" s="3"/>
    </row>
    <row r="11" spans="1:11" x14ac:dyDescent="0.45">
      <c r="A11" s="6"/>
      <c r="C11" s="6"/>
      <c r="D11" s="6"/>
    </row>
    <row r="13" spans="1:11" x14ac:dyDescent="0.45">
      <c r="B13" s="5" t="s">
        <v>173</v>
      </c>
      <c r="G13" s="3"/>
    </row>
    <row r="15" spans="1:11" x14ac:dyDescent="0.45">
      <c r="C15" t="s">
        <v>174</v>
      </c>
      <c r="E15" s="9">
        <v>150000</v>
      </c>
      <c r="F15" t="s">
        <v>175</v>
      </c>
    </row>
    <row r="16" spans="1:11" x14ac:dyDescent="0.45">
      <c r="C16" s="143" t="s">
        <v>176</v>
      </c>
      <c r="E16" s="9">
        <v>60000</v>
      </c>
    </row>
    <row r="17" spans="3:6" x14ac:dyDescent="0.45">
      <c r="C17" t="s">
        <v>177</v>
      </c>
      <c r="E17" s="9">
        <v>40000</v>
      </c>
    </row>
    <row r="18" spans="3:6" ht="28.5" x14ac:dyDescent="0.45">
      <c r="C18" s="159" t="s">
        <v>178</v>
      </c>
      <c r="D18" s="3"/>
      <c r="E18" s="9">
        <f>(0.25*152500)+(0.25*135000*2)</f>
        <v>105625</v>
      </c>
      <c r="F18" t="s">
        <v>179</v>
      </c>
    </row>
    <row r="19" spans="3:6" ht="28.9" thickBot="1" x14ac:dyDescent="0.5">
      <c r="C19" s="82" t="s">
        <v>180</v>
      </c>
      <c r="D19" s="82"/>
      <c r="E19" s="45">
        <f>SUM(E15:E18)</f>
        <v>355625</v>
      </c>
    </row>
    <row r="20" spans="3:6" ht="14.65" thickTop="1" x14ac:dyDescent="0.45"/>
    <row r="21" spans="3:6" x14ac:dyDescent="0.45">
      <c r="C21" s="19"/>
      <c r="D21" s="19"/>
      <c r="E21" s="19"/>
    </row>
    <row r="22" spans="3:6" x14ac:dyDescent="0.45">
      <c r="C22" s="19"/>
      <c r="D22" s="19"/>
      <c r="E22" s="19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17935-E6CA-4965-B0F4-08A731451003}">
  <sheetPr>
    <tabColor rgb="FFCCCCFF"/>
  </sheetPr>
  <dimension ref="A1:J31"/>
  <sheetViews>
    <sheetView showGridLines="0" topLeftCell="B1" zoomScale="130" zoomScaleNormal="130" workbookViewId="0">
      <selection activeCell="E36" sqref="E36"/>
    </sheetView>
  </sheetViews>
  <sheetFormatPr defaultColWidth="11.33203125" defaultRowHeight="14.25" x14ac:dyDescent="0.45"/>
  <cols>
    <col min="3" max="3" width="44" customWidth="1"/>
    <col min="4" max="4" width="16.265625" customWidth="1"/>
    <col min="5" max="5" width="14.265625" bestFit="1" customWidth="1"/>
    <col min="6" max="6" width="67.265625" bestFit="1" customWidth="1"/>
    <col min="7" max="7" width="80.265625" customWidth="1"/>
    <col min="8" max="8" width="84.73046875" customWidth="1"/>
    <col min="10" max="10" width="43.73046875" customWidth="1"/>
  </cols>
  <sheetData>
    <row r="1" spans="1:10" ht="15" customHeight="1" x14ac:dyDescent="0.45">
      <c r="A1" s="31" t="s">
        <v>181</v>
      </c>
      <c r="B1" s="84"/>
      <c r="C1" s="84"/>
      <c r="D1" s="84"/>
      <c r="E1" s="84"/>
      <c r="F1" s="84"/>
    </row>
    <row r="3" spans="1:10" x14ac:dyDescent="0.45">
      <c r="E3" s="8"/>
      <c r="F3" s="8"/>
      <c r="G3" s="8"/>
      <c r="J3" s="5"/>
    </row>
    <row r="4" spans="1:10" ht="28.5" x14ac:dyDescent="0.45">
      <c r="B4" s="83" t="s">
        <v>78</v>
      </c>
      <c r="C4" s="83" t="s">
        <v>79</v>
      </c>
      <c r="D4" s="86">
        <v>2023</v>
      </c>
      <c r="E4" s="26" t="s">
        <v>5</v>
      </c>
      <c r="F4" s="26" t="s">
        <v>80</v>
      </c>
      <c r="G4" s="26" t="s">
        <v>81</v>
      </c>
      <c r="I4" s="5"/>
    </row>
    <row r="5" spans="1:10" ht="38.65" hidden="1" customHeight="1" x14ac:dyDescent="0.45">
      <c r="B5" s="24">
        <v>8.1</v>
      </c>
      <c r="C5" s="40" t="s">
        <v>182</v>
      </c>
      <c r="D5" s="142">
        <v>30000</v>
      </c>
      <c r="E5" s="38">
        <v>30000</v>
      </c>
      <c r="F5" s="4" t="s">
        <v>183</v>
      </c>
      <c r="G5" s="4" t="s">
        <v>158</v>
      </c>
      <c r="I5" s="3"/>
    </row>
    <row r="6" spans="1:10" ht="28.5" hidden="1" x14ac:dyDescent="0.45">
      <c r="B6" s="24">
        <v>8.1999999999999993</v>
      </c>
      <c r="C6" s="40" t="s">
        <v>184</v>
      </c>
      <c r="D6" s="142">
        <v>0</v>
      </c>
      <c r="E6" s="38">
        <v>0</v>
      </c>
      <c r="F6" s="4" t="s">
        <v>185</v>
      </c>
      <c r="G6" s="39" t="s">
        <v>186</v>
      </c>
      <c r="I6" s="3"/>
    </row>
    <row r="7" spans="1:10" ht="46.9" customHeight="1" x14ac:dyDescent="0.45">
      <c r="B7" s="24">
        <v>8.3000000000000007</v>
      </c>
      <c r="C7" s="40" t="s">
        <v>187</v>
      </c>
      <c r="D7" s="142">
        <f>ROUNDUP(D31,-4)</f>
        <v>60000</v>
      </c>
      <c r="E7" s="38">
        <f>ROUNDUP(D31,-4)</f>
        <v>60000</v>
      </c>
      <c r="F7" s="4" t="s">
        <v>188</v>
      </c>
      <c r="G7" s="4" t="s">
        <v>189</v>
      </c>
      <c r="I7" s="3"/>
    </row>
    <row r="8" spans="1:10" ht="42.75" hidden="1" x14ac:dyDescent="0.45">
      <c r="B8" s="24">
        <v>8.4</v>
      </c>
      <c r="C8" s="40" t="s">
        <v>190</v>
      </c>
      <c r="D8" s="142">
        <v>2000</v>
      </c>
      <c r="E8" s="38">
        <v>2000</v>
      </c>
      <c r="F8" s="4" t="s">
        <v>428</v>
      </c>
      <c r="G8" s="4" t="s">
        <v>429</v>
      </c>
      <c r="I8" s="3"/>
    </row>
    <row r="9" spans="1:10" ht="93.75" hidden="1" customHeight="1" x14ac:dyDescent="0.45">
      <c r="B9" s="24">
        <v>8.6</v>
      </c>
      <c r="C9" s="40" t="s">
        <v>191</v>
      </c>
      <c r="D9" s="142">
        <f>ROUNDUP((56000*1.1),-4)+20000</f>
        <v>90000</v>
      </c>
      <c r="E9" s="142">
        <f>D9*1.1</f>
        <v>99000.000000000015</v>
      </c>
      <c r="F9" s="4" t="s">
        <v>430</v>
      </c>
      <c r="G9" s="4" t="s">
        <v>192</v>
      </c>
      <c r="I9" s="3"/>
    </row>
    <row r="10" spans="1:10" ht="24" hidden="1" customHeight="1" x14ac:dyDescent="0.45">
      <c r="B10" s="53">
        <v>8.6999999999999993</v>
      </c>
      <c r="C10" s="53" t="s">
        <v>193</v>
      </c>
      <c r="D10" s="142">
        <v>7000</v>
      </c>
      <c r="E10" s="54">
        <v>7000</v>
      </c>
      <c r="F10" s="155"/>
      <c r="G10" s="155"/>
      <c r="I10" s="3"/>
    </row>
    <row r="11" spans="1:10" ht="57" hidden="1" x14ac:dyDescent="0.45">
      <c r="A11" s="6"/>
      <c r="B11" s="24">
        <v>8.8000000000000007</v>
      </c>
      <c r="C11" s="24" t="s">
        <v>194</v>
      </c>
      <c r="D11" s="142">
        <v>30000</v>
      </c>
      <c r="E11" s="37">
        <v>30000</v>
      </c>
      <c r="F11" s="4" t="s">
        <v>566</v>
      </c>
      <c r="G11" s="4" t="s">
        <v>567</v>
      </c>
      <c r="I11" s="3"/>
    </row>
    <row r="12" spans="1:10" hidden="1" x14ac:dyDescent="0.45">
      <c r="A12" s="6"/>
      <c r="B12" s="24">
        <v>8.9</v>
      </c>
      <c r="C12" s="24" t="s">
        <v>195</v>
      </c>
      <c r="D12" s="142">
        <v>0</v>
      </c>
      <c r="E12" s="37">
        <v>0</v>
      </c>
      <c r="F12" s="4"/>
      <c r="G12" s="4"/>
      <c r="I12" s="3"/>
    </row>
    <row r="14" spans="1:10" hidden="1" x14ac:dyDescent="0.45"/>
    <row r="15" spans="1:10" hidden="1" x14ac:dyDescent="0.45">
      <c r="B15" s="5">
        <v>8.1999999999999993</v>
      </c>
      <c r="C15" s="5" t="s">
        <v>426</v>
      </c>
      <c r="D15" s="5"/>
    </row>
    <row r="16" spans="1:10" hidden="1" x14ac:dyDescent="0.45">
      <c r="C16" s="3"/>
    </row>
    <row r="17" spans="2:8" hidden="1" x14ac:dyDescent="0.45">
      <c r="C17" s="3" t="s">
        <v>425</v>
      </c>
      <c r="D17" s="3"/>
      <c r="F17" s="7"/>
      <c r="H17">
        <f>511.73*1.13</f>
        <v>578.25490000000002</v>
      </c>
    </row>
    <row r="18" spans="2:8" hidden="1" x14ac:dyDescent="0.45">
      <c r="D18" s="3"/>
      <c r="F18" s="7"/>
    </row>
    <row r="19" spans="2:8" hidden="1" x14ac:dyDescent="0.45">
      <c r="F19" s="9"/>
    </row>
    <row r="20" spans="2:8" hidden="1" x14ac:dyDescent="0.45"/>
    <row r="21" spans="2:8" x14ac:dyDescent="0.45">
      <c r="B21" s="5">
        <v>8.3000000000000007</v>
      </c>
      <c r="C21" s="5" t="s">
        <v>427</v>
      </c>
      <c r="D21" s="5"/>
    </row>
    <row r="23" spans="2:8" x14ac:dyDescent="0.45">
      <c r="C23" t="s">
        <v>196</v>
      </c>
      <c r="D23" s="9">
        <f>36.11*12</f>
        <v>433.32</v>
      </c>
    </row>
    <row r="24" spans="2:8" x14ac:dyDescent="0.45">
      <c r="C24" s="104" t="s">
        <v>424</v>
      </c>
      <c r="D24" s="9">
        <v>50000</v>
      </c>
    </row>
    <row r="25" spans="2:8" x14ac:dyDescent="0.45">
      <c r="C25" s="104" t="s">
        <v>423</v>
      </c>
      <c r="D25" s="9">
        <v>1425</v>
      </c>
    </row>
    <row r="26" spans="2:8" x14ac:dyDescent="0.45">
      <c r="C26" s="104" t="s">
        <v>422</v>
      </c>
      <c r="D26" s="9">
        <f>310.75*2</f>
        <v>621.5</v>
      </c>
    </row>
    <row r="27" spans="2:8" x14ac:dyDescent="0.45">
      <c r="C27" t="s">
        <v>419</v>
      </c>
      <c r="D27" s="9">
        <v>3000</v>
      </c>
    </row>
    <row r="28" spans="2:8" x14ac:dyDescent="0.45">
      <c r="C28" s="104" t="s">
        <v>568</v>
      </c>
      <c r="D28" s="9">
        <v>225</v>
      </c>
    </row>
    <row r="31" spans="2:8" x14ac:dyDescent="0.45">
      <c r="D31" s="105">
        <f>SUM(D23:D28)</f>
        <v>55704.82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731C7-F128-44EB-AD66-5DAA8E1B8DDD}">
  <dimension ref="A1:I18"/>
  <sheetViews>
    <sheetView showGridLines="0" topLeftCell="B1" workbookViewId="0">
      <selection activeCell="G23" sqref="G23"/>
    </sheetView>
  </sheetViews>
  <sheetFormatPr defaultColWidth="11.33203125" defaultRowHeight="14.25" x14ac:dyDescent="0.45"/>
  <cols>
    <col min="2" max="2" width="14.265625" bestFit="1" customWidth="1"/>
    <col min="3" max="3" width="39.265625" customWidth="1"/>
    <col min="4" max="4" width="33.33203125" customWidth="1"/>
    <col min="5" max="5" width="14.265625" bestFit="1" customWidth="1"/>
    <col min="6" max="6" width="17.33203125" customWidth="1"/>
    <col min="7" max="7" width="84.73046875" customWidth="1"/>
    <col min="8" max="8" width="91.265625" customWidth="1"/>
    <col min="9" max="9" width="10.06640625" customWidth="1"/>
  </cols>
  <sheetData>
    <row r="1" spans="1:9" x14ac:dyDescent="0.45">
      <c r="A1" s="31" t="s">
        <v>197</v>
      </c>
      <c r="B1" s="31"/>
      <c r="C1" s="31"/>
      <c r="D1" s="31"/>
      <c r="E1" s="31"/>
      <c r="F1" s="31"/>
    </row>
    <row r="3" spans="1:9" ht="28.5" x14ac:dyDescent="0.45">
      <c r="B3" s="83" t="s">
        <v>78</v>
      </c>
      <c r="C3" s="83" t="s">
        <v>79</v>
      </c>
      <c r="D3" s="26">
        <v>2023</v>
      </c>
      <c r="E3" s="26" t="s">
        <v>5</v>
      </c>
      <c r="F3" s="26" t="s">
        <v>6</v>
      </c>
      <c r="G3" s="26" t="s">
        <v>80</v>
      </c>
      <c r="H3" s="26" t="s">
        <v>81</v>
      </c>
      <c r="I3" s="8"/>
    </row>
    <row r="4" spans="1:9" ht="57" x14ac:dyDescent="0.45">
      <c r="B4" s="24" t="s">
        <v>44</v>
      </c>
      <c r="C4" s="40" t="s">
        <v>198</v>
      </c>
      <c r="D4" s="147">
        <v>0</v>
      </c>
      <c r="E4" s="38">
        <v>0</v>
      </c>
      <c r="F4" s="38">
        <v>0</v>
      </c>
      <c r="G4" s="4" t="s">
        <v>199</v>
      </c>
      <c r="H4" s="4" t="s">
        <v>200</v>
      </c>
      <c r="I4" s="3"/>
    </row>
    <row r="5" spans="1:9" ht="106.5" customHeight="1" x14ac:dyDescent="0.45">
      <c r="B5" s="24" t="s">
        <v>46</v>
      </c>
      <c r="C5" s="24" t="s">
        <v>201</v>
      </c>
      <c r="D5" s="147">
        <v>0</v>
      </c>
      <c r="E5" s="38">
        <v>0</v>
      </c>
      <c r="F5" s="37">
        <v>0</v>
      </c>
      <c r="G5" s="4" t="s">
        <v>202</v>
      </c>
      <c r="H5" s="4" t="s">
        <v>203</v>
      </c>
      <c r="I5" s="3"/>
    </row>
    <row r="6" spans="1:9" x14ac:dyDescent="0.45">
      <c r="A6" s="15"/>
    </row>
    <row r="7" spans="1:9" x14ac:dyDescent="0.45">
      <c r="A7" s="14"/>
      <c r="B7" s="7"/>
    </row>
    <row r="8" spans="1:9" x14ac:dyDescent="0.45">
      <c r="A8" s="14"/>
    </row>
    <row r="9" spans="1:9" x14ac:dyDescent="0.45">
      <c r="A9" s="14"/>
    </row>
    <row r="10" spans="1:9" x14ac:dyDescent="0.45">
      <c r="A10" s="16"/>
      <c r="B10" s="7"/>
    </row>
    <row r="11" spans="1:9" x14ac:dyDescent="0.45">
      <c r="A11" s="17"/>
    </row>
    <row r="12" spans="1:9" x14ac:dyDescent="0.45">
      <c r="A12" s="17"/>
    </row>
    <row r="13" spans="1:9" x14ac:dyDescent="0.45">
      <c r="A13" s="18"/>
    </row>
    <row r="14" spans="1:9" x14ac:dyDescent="0.45">
      <c r="A14" s="17"/>
    </row>
    <row r="15" spans="1:9" x14ac:dyDescent="0.45">
      <c r="A15" s="16"/>
    </row>
    <row r="16" spans="1:9" x14ac:dyDescent="0.45">
      <c r="A16" s="17"/>
    </row>
    <row r="17" spans="1:1" x14ac:dyDescent="0.45">
      <c r="A17" s="17"/>
    </row>
    <row r="18" spans="1:1" x14ac:dyDescent="0.45">
      <c r="A18" s="17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432A-2BE8-4EBC-9375-5D485E0A5EDE}">
  <sheetPr>
    <tabColor rgb="FFCCCCFF"/>
  </sheetPr>
  <dimension ref="A1:F33"/>
  <sheetViews>
    <sheetView showGridLines="0" topLeftCell="A4" zoomScale="115" zoomScaleNormal="115" workbookViewId="0">
      <selection activeCell="E36" sqref="E36"/>
    </sheetView>
  </sheetViews>
  <sheetFormatPr defaultColWidth="11.33203125" defaultRowHeight="14.25" x14ac:dyDescent="0.45"/>
  <cols>
    <col min="3" max="3" width="58.9296875" bestFit="1" customWidth="1"/>
    <col min="4" max="4" width="33.33203125" customWidth="1"/>
    <col min="5" max="5" width="14.265625" bestFit="1" customWidth="1"/>
    <col min="6" max="6" width="17.33203125" customWidth="1"/>
    <col min="7" max="7" width="76.59765625" customWidth="1"/>
    <col min="8" max="8" width="80.33203125" customWidth="1"/>
    <col min="9" max="9" width="27" customWidth="1"/>
  </cols>
  <sheetData>
    <row r="1" spans="1:6" x14ac:dyDescent="0.45">
      <c r="A1" s="453" t="s">
        <v>207</v>
      </c>
      <c r="B1" s="453"/>
      <c r="C1" s="453"/>
      <c r="D1" s="453"/>
      <c r="E1" s="453"/>
      <c r="F1" s="453"/>
    </row>
    <row r="3" spans="1:6" x14ac:dyDescent="0.45">
      <c r="A3" s="6"/>
      <c r="B3">
        <v>11.2</v>
      </c>
      <c r="C3" s="91" t="s">
        <v>210</v>
      </c>
      <c r="D3" s="91"/>
    </row>
    <row r="4" spans="1:6" x14ac:dyDescent="0.45">
      <c r="A4" s="6"/>
      <c r="C4" s="5"/>
      <c r="D4" s="5"/>
    </row>
    <row r="5" spans="1:6" x14ac:dyDescent="0.45">
      <c r="A5" s="6"/>
      <c r="C5" t="s">
        <v>622</v>
      </c>
      <c r="D5" s="100">
        <v>2000</v>
      </c>
    </row>
    <row r="6" spans="1:6" x14ac:dyDescent="0.45">
      <c r="C6" t="s">
        <v>623</v>
      </c>
      <c r="D6" s="100">
        <v>19000</v>
      </c>
    </row>
    <row r="7" spans="1:6" x14ac:dyDescent="0.45">
      <c r="C7" t="s">
        <v>439</v>
      </c>
      <c r="D7" s="100">
        <v>2000</v>
      </c>
    </row>
    <row r="8" spans="1:6" x14ac:dyDescent="0.45">
      <c r="C8" t="s">
        <v>624</v>
      </c>
      <c r="D8" s="100">
        <v>13000</v>
      </c>
    </row>
    <row r="9" spans="1:6" x14ac:dyDescent="0.45">
      <c r="C9" t="s">
        <v>625</v>
      </c>
      <c r="D9" s="100">
        <v>150</v>
      </c>
    </row>
    <row r="10" spans="1:6" x14ac:dyDescent="0.45">
      <c r="C10" t="s">
        <v>626</v>
      </c>
      <c r="D10" s="100">
        <v>1000</v>
      </c>
    </row>
    <row r="11" spans="1:6" x14ac:dyDescent="0.45">
      <c r="C11" t="s">
        <v>627</v>
      </c>
      <c r="D11" s="100">
        <v>4000</v>
      </c>
    </row>
    <row r="12" spans="1:6" x14ac:dyDescent="0.45">
      <c r="C12" t="s">
        <v>213</v>
      </c>
      <c r="D12" s="100">
        <v>1000</v>
      </c>
    </row>
    <row r="13" spans="1:6" x14ac:dyDescent="0.45">
      <c r="C13" t="s">
        <v>628</v>
      </c>
      <c r="D13" s="100">
        <v>123000</v>
      </c>
    </row>
    <row r="14" spans="1:6" x14ac:dyDescent="0.45">
      <c r="C14" t="s">
        <v>629</v>
      </c>
      <c r="D14" s="100">
        <v>200</v>
      </c>
    </row>
    <row r="15" spans="1:6" x14ac:dyDescent="0.45">
      <c r="C15" s="102" t="s">
        <v>630</v>
      </c>
      <c r="D15" s="100">
        <v>15000</v>
      </c>
    </row>
    <row r="16" spans="1:6" x14ac:dyDescent="0.45">
      <c r="C16" t="s">
        <v>631</v>
      </c>
      <c r="D16" s="100">
        <v>5000</v>
      </c>
    </row>
    <row r="17" spans="3:4" x14ac:dyDescent="0.45">
      <c r="C17" t="s">
        <v>437</v>
      </c>
      <c r="D17" s="100">
        <v>12000</v>
      </c>
    </row>
    <row r="18" spans="3:4" x14ac:dyDescent="0.45">
      <c r="C18" t="s">
        <v>632</v>
      </c>
      <c r="D18" s="100">
        <v>4000</v>
      </c>
    </row>
    <row r="19" spans="3:4" x14ac:dyDescent="0.45">
      <c r="C19" t="s">
        <v>767</v>
      </c>
      <c r="D19" s="100">
        <v>200</v>
      </c>
    </row>
    <row r="20" spans="3:4" x14ac:dyDescent="0.45">
      <c r="C20" t="s">
        <v>633</v>
      </c>
      <c r="D20" s="100">
        <v>3000</v>
      </c>
    </row>
    <row r="21" spans="3:4" x14ac:dyDescent="0.45">
      <c r="C21" t="s">
        <v>634</v>
      </c>
      <c r="D21" s="100">
        <v>2000</v>
      </c>
    </row>
    <row r="22" spans="3:4" x14ac:dyDescent="0.45">
      <c r="C22" t="s">
        <v>440</v>
      </c>
      <c r="D22" s="100">
        <v>5000</v>
      </c>
    </row>
    <row r="23" spans="3:4" x14ac:dyDescent="0.45">
      <c r="C23" t="s">
        <v>569</v>
      </c>
      <c r="D23" s="100">
        <v>1000</v>
      </c>
    </row>
    <row r="24" spans="3:4" x14ac:dyDescent="0.45">
      <c r="C24" t="s">
        <v>635</v>
      </c>
      <c r="D24" s="100">
        <v>1000</v>
      </c>
    </row>
    <row r="25" spans="3:4" x14ac:dyDescent="0.45">
      <c r="C25" t="s">
        <v>438</v>
      </c>
      <c r="D25" s="100">
        <v>2000</v>
      </c>
    </row>
    <row r="26" spans="3:4" x14ac:dyDescent="0.45">
      <c r="C26" t="s">
        <v>212</v>
      </c>
      <c r="D26" s="100">
        <v>2000</v>
      </c>
    </row>
    <row r="27" spans="3:4" x14ac:dyDescent="0.45">
      <c r="C27" t="s">
        <v>636</v>
      </c>
      <c r="D27" s="100">
        <v>4000</v>
      </c>
    </row>
    <row r="28" spans="3:4" x14ac:dyDescent="0.45">
      <c r="C28" t="s">
        <v>214</v>
      </c>
      <c r="D28" s="100">
        <v>9000</v>
      </c>
    </row>
    <row r="29" spans="3:4" x14ac:dyDescent="0.45">
      <c r="C29" t="s">
        <v>637</v>
      </c>
      <c r="D29" s="100">
        <v>14000</v>
      </c>
    </row>
    <row r="30" spans="3:4" x14ac:dyDescent="0.45">
      <c r="C30" t="s">
        <v>768</v>
      </c>
      <c r="D30" s="100">
        <v>60000</v>
      </c>
    </row>
    <row r="31" spans="3:4" x14ac:dyDescent="0.45">
      <c r="C31" t="s">
        <v>441</v>
      </c>
      <c r="D31" s="100">
        <v>7000</v>
      </c>
    </row>
    <row r="32" spans="3:4" ht="14.65" thickBot="1" x14ac:dyDescent="0.5">
      <c r="D32" s="198">
        <f>ROUNDDOWN(SUM(D5:D31),-4)</f>
        <v>310000</v>
      </c>
    </row>
    <row r="33" ht="14.65" thickTop="1" x14ac:dyDescent="0.45"/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75E62-F817-4B68-9A28-44533C36DBAF}">
  <sheetPr>
    <tabColor rgb="FFCCCCFF"/>
  </sheetPr>
  <dimension ref="A1:G54"/>
  <sheetViews>
    <sheetView showGridLines="0" topLeftCell="B3" workbookViewId="0">
      <selection activeCell="F9" sqref="F9"/>
    </sheetView>
  </sheetViews>
  <sheetFormatPr defaultColWidth="11.33203125" defaultRowHeight="14.25" x14ac:dyDescent="0.45"/>
  <cols>
    <col min="3" max="3" width="40.265625" customWidth="1"/>
    <col min="4" max="4" width="13.33203125" customWidth="1"/>
    <col min="5" max="5" width="14.265625" bestFit="1" customWidth="1"/>
    <col min="6" max="6" width="84.73046875" customWidth="1"/>
    <col min="7" max="7" width="78.796875" customWidth="1"/>
  </cols>
  <sheetData>
    <row r="1" spans="1:7" x14ac:dyDescent="0.45">
      <c r="A1" s="31" t="s">
        <v>204</v>
      </c>
      <c r="B1" s="31"/>
      <c r="C1" s="31"/>
      <c r="D1" s="31"/>
      <c r="E1" s="31"/>
    </row>
    <row r="3" spans="1:7" ht="28.5" x14ac:dyDescent="0.45">
      <c r="B3" s="83" t="s">
        <v>78</v>
      </c>
      <c r="C3" s="83" t="s">
        <v>79</v>
      </c>
      <c r="D3" s="86">
        <v>2024</v>
      </c>
      <c r="E3" s="26">
        <v>2025</v>
      </c>
      <c r="F3" s="26" t="s">
        <v>80</v>
      </c>
      <c r="G3" s="26" t="s">
        <v>81</v>
      </c>
    </row>
    <row r="4" spans="1:7" ht="48.75" customHeight="1" x14ac:dyDescent="0.45">
      <c r="B4" s="24">
        <v>12.1</v>
      </c>
      <c r="C4" s="24" t="s">
        <v>205</v>
      </c>
      <c r="D4" s="34">
        <f>23*17891*1.13</f>
        <v>464987.08999999997</v>
      </c>
      <c r="E4" s="36">
        <f>D4</f>
        <v>464987.08999999997</v>
      </c>
      <c r="F4" s="148" t="s">
        <v>565</v>
      </c>
      <c r="G4" s="148"/>
    </row>
    <row r="5" spans="1:7" ht="59.65" customHeight="1" x14ac:dyDescent="0.45">
      <c r="B5" s="24">
        <v>12.2</v>
      </c>
      <c r="C5" s="24" t="s">
        <v>206</v>
      </c>
      <c r="D5" s="34">
        <f>ROUNDUP((E53*12*1.03),-3)</f>
        <v>544000</v>
      </c>
      <c r="E5" s="38">
        <f>ROUNDUP((D5*1.03),-3)</f>
        <v>561000</v>
      </c>
      <c r="F5" s="148" t="s">
        <v>564</v>
      </c>
      <c r="G5" s="148"/>
    </row>
    <row r="6" spans="1:7" ht="59.65" customHeight="1" x14ac:dyDescent="0.45">
      <c r="B6" s="24">
        <v>12.3</v>
      </c>
      <c r="C6" s="24"/>
      <c r="D6" s="34">
        <f>20552*12</f>
        <v>246624</v>
      </c>
      <c r="E6" s="38">
        <f>20552*12</f>
        <v>246624</v>
      </c>
      <c r="F6" s="148" t="s">
        <v>564</v>
      </c>
      <c r="G6" s="148"/>
    </row>
    <row r="7" spans="1:7" ht="49.9" hidden="1" customHeight="1" x14ac:dyDescent="0.45">
      <c r="B7" s="5"/>
      <c r="C7" s="6"/>
      <c r="D7" s="6"/>
      <c r="E7" s="10"/>
      <c r="G7" s="3"/>
    </row>
    <row r="8" spans="1:7" ht="49.9" hidden="1" customHeight="1" x14ac:dyDescent="0.45">
      <c r="B8" s="5"/>
      <c r="C8" s="5"/>
      <c r="D8" s="10">
        <f>(23*18248)</f>
        <v>419704</v>
      </c>
      <c r="E8" s="10">
        <f>(23*18248)/12*10</f>
        <v>349753.33333333337</v>
      </c>
      <c r="F8">
        <f>30563.71*12</f>
        <v>366764.52</v>
      </c>
    </row>
    <row r="9" spans="1:7" ht="49.9" hidden="1" customHeight="1" x14ac:dyDescent="0.45">
      <c r="B9" s="5"/>
      <c r="C9" s="5"/>
      <c r="D9" s="10">
        <f>(18248*24.24)</f>
        <v>442331.51999999996</v>
      </c>
      <c r="E9" s="10">
        <f>(18248*24.24)/12*10</f>
        <v>368609.6</v>
      </c>
      <c r="F9">
        <f>2344.3*12</f>
        <v>28131.600000000002</v>
      </c>
    </row>
    <row r="10" spans="1:7" ht="49.9" hidden="1" customHeight="1" x14ac:dyDescent="0.45">
      <c r="B10" s="5"/>
      <c r="C10" s="5"/>
      <c r="D10" s="5"/>
      <c r="E10" s="10"/>
    </row>
    <row r="11" spans="1:7" ht="49.9" hidden="1" customHeight="1" x14ac:dyDescent="0.45">
      <c r="B11" s="5"/>
      <c r="C11" s="6"/>
      <c r="D11" s="6"/>
      <c r="E11" s="10"/>
    </row>
    <row r="12" spans="1:7" ht="49.9" hidden="1" customHeight="1" x14ac:dyDescent="0.45">
      <c r="B12" s="5"/>
      <c r="C12" s="23"/>
      <c r="D12" s="23"/>
      <c r="E12" s="97">
        <f>425000/12*2</f>
        <v>70833.333333333328</v>
      </c>
      <c r="F12" s="3"/>
      <c r="G12" s="3"/>
    </row>
    <row r="13" spans="1:7" ht="49.9" hidden="1" customHeight="1" x14ac:dyDescent="0.45">
      <c r="B13" s="5"/>
      <c r="C13" s="23"/>
      <c r="D13" s="23"/>
      <c r="E13" s="97">
        <f>436400/12*2</f>
        <v>72733.333333333328</v>
      </c>
      <c r="F13" s="3"/>
      <c r="G13" s="3"/>
    </row>
    <row r="14" spans="1:7" ht="49.9" hidden="1" customHeight="1" x14ac:dyDescent="0.45">
      <c r="B14" s="5"/>
      <c r="C14" s="23"/>
      <c r="D14" s="23"/>
      <c r="E14" s="22"/>
      <c r="F14" s="3"/>
      <c r="G14" s="3"/>
    </row>
    <row r="15" spans="1:7" ht="49.9" hidden="1" customHeight="1" x14ac:dyDescent="0.45">
      <c r="B15" s="5"/>
      <c r="C15" s="5"/>
      <c r="D15" s="5"/>
      <c r="E15" s="10"/>
      <c r="F15" s="3"/>
      <c r="G15" s="3"/>
    </row>
    <row r="16" spans="1:7" ht="57" hidden="1" customHeight="1" x14ac:dyDescent="0.45">
      <c r="A16" s="5"/>
      <c r="B16" s="5"/>
      <c r="C16" s="12"/>
      <c r="D16" s="12"/>
      <c r="E16" s="10"/>
      <c r="F16" s="3"/>
      <c r="G16" s="3"/>
    </row>
    <row r="17" spans="1:7" hidden="1" x14ac:dyDescent="0.45">
      <c r="B17" s="5"/>
      <c r="C17" s="5"/>
      <c r="D17" s="5"/>
      <c r="E17" s="10"/>
      <c r="F17" s="3"/>
      <c r="G17" s="3"/>
    </row>
    <row r="18" spans="1:7" x14ac:dyDescent="0.45">
      <c r="B18" s="5"/>
      <c r="C18" s="5"/>
      <c r="D18" s="5"/>
      <c r="F18" s="3"/>
      <c r="G18" s="3"/>
    </row>
    <row r="19" spans="1:7" x14ac:dyDescent="0.45">
      <c r="C19" s="6"/>
      <c r="D19" s="6"/>
    </row>
    <row r="22" spans="1:7" x14ac:dyDescent="0.45">
      <c r="A22" s="14"/>
    </row>
    <row r="23" spans="1:7" x14ac:dyDescent="0.45">
      <c r="A23" s="15"/>
    </row>
    <row r="24" spans="1:7" x14ac:dyDescent="0.45">
      <c r="A24" s="14"/>
    </row>
    <row r="25" spans="1:7" x14ac:dyDescent="0.45">
      <c r="A25" s="14"/>
    </row>
    <row r="26" spans="1:7" x14ac:dyDescent="0.45">
      <c r="A26" s="14"/>
    </row>
    <row r="27" spans="1:7" x14ac:dyDescent="0.45">
      <c r="A27" s="16"/>
    </row>
    <row r="28" spans="1:7" x14ac:dyDescent="0.45">
      <c r="A28" s="17"/>
    </row>
    <row r="29" spans="1:7" x14ac:dyDescent="0.45">
      <c r="A29" s="17"/>
    </row>
    <row r="30" spans="1:7" x14ac:dyDescent="0.45">
      <c r="A30" s="18"/>
    </row>
    <row r="31" spans="1:7" x14ac:dyDescent="0.45">
      <c r="A31" s="17"/>
    </row>
    <row r="32" spans="1:7" x14ac:dyDescent="0.45">
      <c r="A32" s="16"/>
    </row>
    <row r="33" spans="1:5" x14ac:dyDescent="0.45">
      <c r="A33" s="17"/>
    </row>
    <row r="34" spans="1:5" x14ac:dyDescent="0.45">
      <c r="A34" s="17"/>
    </row>
    <row r="35" spans="1:5" x14ac:dyDescent="0.45">
      <c r="A35" s="17"/>
    </row>
    <row r="48" spans="1:5" x14ac:dyDescent="0.45">
      <c r="E48" s="178" t="s">
        <v>563</v>
      </c>
    </row>
    <row r="49" spans="5:6" x14ac:dyDescent="0.45">
      <c r="E49" s="100">
        <v>24298.89</v>
      </c>
    </row>
    <row r="50" spans="5:6" x14ac:dyDescent="0.45">
      <c r="E50" s="186">
        <v>14621.12</v>
      </c>
    </row>
    <row r="51" spans="5:6" x14ac:dyDescent="0.45">
      <c r="E51" s="100">
        <f>E49+E50</f>
        <v>38920.01</v>
      </c>
    </row>
    <row r="52" spans="5:6" x14ac:dyDescent="0.45">
      <c r="E52" s="186">
        <f>E51*0.13</f>
        <v>5059.6013000000003</v>
      </c>
      <c r="F52" t="s">
        <v>562</v>
      </c>
    </row>
    <row r="53" spans="5:6" ht="14.65" thickBot="1" x14ac:dyDescent="0.5">
      <c r="E53" s="185">
        <f>E51+E52</f>
        <v>43979.611300000004</v>
      </c>
    </row>
    <row r="54" spans="5:6" ht="14.65" thickTop="1" x14ac:dyDescent="0.45"/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031A5-B164-4BA4-A24E-1D1FF59897C2}">
  <dimension ref="A1:H22"/>
  <sheetViews>
    <sheetView showGridLines="0" zoomScale="145" zoomScaleNormal="145" workbookViewId="0">
      <selection activeCell="A6" sqref="A6"/>
    </sheetView>
  </sheetViews>
  <sheetFormatPr defaultColWidth="11.33203125" defaultRowHeight="14.25" x14ac:dyDescent="0.45"/>
  <cols>
    <col min="3" max="3" width="66.06640625" bestFit="1" customWidth="1"/>
    <col min="4" max="4" width="34.59765625" customWidth="1"/>
    <col min="5" max="5" width="14.265625" bestFit="1" customWidth="1"/>
    <col min="6" max="6" width="17.33203125" customWidth="1"/>
    <col min="7" max="7" width="84.73046875" customWidth="1"/>
    <col min="8" max="8" width="71.73046875" customWidth="1"/>
  </cols>
  <sheetData>
    <row r="1" spans="1:8" x14ac:dyDescent="0.45">
      <c r="A1" s="453" t="s">
        <v>215</v>
      </c>
      <c r="B1" s="453"/>
      <c r="C1" s="453"/>
      <c r="D1" s="453"/>
      <c r="E1" s="453"/>
      <c r="F1" s="453"/>
    </row>
    <row r="2" spans="1:8" x14ac:dyDescent="0.45">
      <c r="G2" s="96"/>
    </row>
    <row r="3" spans="1:8" ht="28.5" x14ac:dyDescent="0.45">
      <c r="B3" s="83" t="s">
        <v>208</v>
      </c>
      <c r="C3" s="83" t="s">
        <v>209</v>
      </c>
      <c r="D3" s="86">
        <v>2023</v>
      </c>
      <c r="E3" s="86" t="s">
        <v>5</v>
      </c>
      <c r="F3" s="86" t="s">
        <v>6</v>
      </c>
      <c r="G3" s="86" t="s">
        <v>80</v>
      </c>
      <c r="H3" s="90" t="s">
        <v>81</v>
      </c>
    </row>
    <row r="4" spans="1:8" ht="101.65" customHeight="1" x14ac:dyDescent="0.45">
      <c r="A4">
        <v>90</v>
      </c>
      <c r="B4" s="24">
        <v>12.1</v>
      </c>
      <c r="C4" s="40" t="s">
        <v>216</v>
      </c>
      <c r="D4" s="141">
        <v>105000</v>
      </c>
      <c r="E4" s="37">
        <v>100000</v>
      </c>
      <c r="F4" s="37">
        <v>100000</v>
      </c>
      <c r="G4" s="4"/>
      <c r="H4" s="39"/>
    </row>
    <row r="5" spans="1:8" ht="127.5" customHeight="1" x14ac:dyDescent="0.45">
      <c r="A5">
        <v>50</v>
      </c>
      <c r="B5" s="24">
        <v>12.2</v>
      </c>
      <c r="C5" s="24" t="s">
        <v>218</v>
      </c>
      <c r="D5" s="141">
        <v>74000</v>
      </c>
      <c r="E5" s="37">
        <v>70000</v>
      </c>
      <c r="F5" s="37">
        <v>70000</v>
      </c>
      <c r="G5" s="4"/>
      <c r="H5" s="39"/>
    </row>
    <row r="6" spans="1:8" ht="29.65" customHeight="1" x14ac:dyDescent="0.45">
      <c r="A6">
        <v>28</v>
      </c>
      <c r="B6" s="24">
        <v>12.3</v>
      </c>
      <c r="C6" s="40" t="s">
        <v>219</v>
      </c>
      <c r="D6" s="141">
        <v>32000</v>
      </c>
      <c r="E6" s="37">
        <v>30000</v>
      </c>
      <c r="F6" s="37">
        <v>30000</v>
      </c>
      <c r="G6" s="4"/>
      <c r="H6" s="39"/>
    </row>
    <row r="7" spans="1:8" ht="29.65" customHeight="1" x14ac:dyDescent="0.45">
      <c r="A7">
        <v>10</v>
      </c>
      <c r="B7" s="24">
        <v>12.4</v>
      </c>
      <c r="C7" s="24" t="s">
        <v>220</v>
      </c>
      <c r="D7" s="141">
        <v>13000</v>
      </c>
      <c r="E7" s="37">
        <v>12000</v>
      </c>
      <c r="F7" s="37">
        <v>12000</v>
      </c>
      <c r="G7" s="4" t="s">
        <v>217</v>
      </c>
      <c r="H7" s="39" t="s">
        <v>154</v>
      </c>
    </row>
    <row r="8" spans="1:8" ht="29.65" customHeight="1" x14ac:dyDescent="0.45">
      <c r="A8">
        <v>20</v>
      </c>
      <c r="B8" s="24">
        <v>12.5</v>
      </c>
      <c r="C8" s="40" t="s">
        <v>221</v>
      </c>
      <c r="D8" s="141">
        <v>53000</v>
      </c>
      <c r="E8" s="37">
        <v>50000</v>
      </c>
      <c r="F8" s="37">
        <v>50000</v>
      </c>
      <c r="G8" s="4" t="s">
        <v>217</v>
      </c>
      <c r="H8" s="39" t="s">
        <v>154</v>
      </c>
    </row>
    <row r="9" spans="1:8" ht="29.65" customHeight="1" x14ac:dyDescent="0.45">
      <c r="A9">
        <v>30</v>
      </c>
      <c r="B9" s="24">
        <v>12.6</v>
      </c>
      <c r="C9" s="40" t="s">
        <v>222</v>
      </c>
      <c r="D9" s="141">
        <v>32000</v>
      </c>
      <c r="E9" s="37">
        <v>30000</v>
      </c>
      <c r="F9" s="37">
        <v>30000</v>
      </c>
      <c r="G9" s="4" t="s">
        <v>217</v>
      </c>
      <c r="H9" s="39" t="s">
        <v>154</v>
      </c>
    </row>
    <row r="10" spans="1:8" x14ac:dyDescent="0.45">
      <c r="A10" s="15"/>
      <c r="G10" s="1"/>
    </row>
    <row r="11" spans="1:8" x14ac:dyDescent="0.45">
      <c r="A11" s="14"/>
      <c r="G11" s="1"/>
    </row>
    <row r="12" spans="1:8" x14ac:dyDescent="0.45">
      <c r="A12" s="14"/>
    </row>
    <row r="13" spans="1:8" x14ac:dyDescent="0.45">
      <c r="A13" s="14"/>
    </row>
    <row r="14" spans="1:8" x14ac:dyDescent="0.45">
      <c r="A14" s="16"/>
    </row>
    <row r="15" spans="1:8" x14ac:dyDescent="0.45">
      <c r="A15" s="17"/>
    </row>
    <row r="16" spans="1:8" x14ac:dyDescent="0.45">
      <c r="A16" s="17"/>
    </row>
    <row r="17" spans="1:1" x14ac:dyDescent="0.45">
      <c r="A17" s="18"/>
    </row>
    <row r="18" spans="1:1" x14ac:dyDescent="0.45">
      <c r="A18" s="17"/>
    </row>
    <row r="19" spans="1:1" x14ac:dyDescent="0.45">
      <c r="A19" s="16"/>
    </row>
    <row r="20" spans="1:1" x14ac:dyDescent="0.45">
      <c r="A20" s="17"/>
    </row>
    <row r="21" spans="1:1" x14ac:dyDescent="0.45">
      <c r="A21" s="17"/>
    </row>
    <row r="22" spans="1:1" x14ac:dyDescent="0.45">
      <c r="A22" s="17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D2DC-AC71-4D9B-8EAC-98D4D35540CB}">
  <dimension ref="A1:H23"/>
  <sheetViews>
    <sheetView showGridLines="0" topLeftCell="A7" zoomScale="115" zoomScaleNormal="115" workbookViewId="0">
      <selection activeCell="D4" sqref="D4:D16"/>
    </sheetView>
  </sheetViews>
  <sheetFormatPr defaultColWidth="11.33203125" defaultRowHeight="14.25" x14ac:dyDescent="0.45"/>
  <cols>
    <col min="3" max="3" width="46.73046875" customWidth="1"/>
    <col min="4" max="4" width="26.33203125" customWidth="1"/>
    <col min="5" max="5" width="20.73046875" customWidth="1"/>
    <col min="6" max="6" width="32.59765625" customWidth="1"/>
    <col min="7" max="7" width="53.06640625" customWidth="1"/>
    <col min="8" max="8" width="63.73046875" customWidth="1"/>
  </cols>
  <sheetData>
    <row r="1" spans="1:8" x14ac:dyDescent="0.45">
      <c r="A1" s="458" t="s">
        <v>223</v>
      </c>
      <c r="B1" s="458"/>
      <c r="C1" s="458"/>
      <c r="D1" s="458"/>
      <c r="E1" s="458"/>
      <c r="F1" s="458"/>
    </row>
    <row r="2" spans="1:8" x14ac:dyDescent="0.45">
      <c r="G2" s="96"/>
    </row>
    <row r="3" spans="1:8" ht="28.5" x14ac:dyDescent="0.45">
      <c r="A3" s="100"/>
      <c r="B3" s="83" t="s">
        <v>208</v>
      </c>
      <c r="C3" s="83" t="s">
        <v>209</v>
      </c>
      <c r="D3" s="86">
        <v>2023</v>
      </c>
      <c r="E3" s="86" t="s">
        <v>5</v>
      </c>
      <c r="F3" s="86" t="s">
        <v>6</v>
      </c>
      <c r="G3" s="86" t="s">
        <v>80</v>
      </c>
      <c r="H3" s="90" t="s">
        <v>81</v>
      </c>
    </row>
    <row r="4" spans="1:8" ht="101.65" customHeight="1" x14ac:dyDescent="0.45">
      <c r="A4" s="100"/>
      <c r="B4" s="44">
        <v>13.1</v>
      </c>
      <c r="C4" s="24" t="s">
        <v>224</v>
      </c>
      <c r="D4" s="139">
        <f>E4</f>
        <v>100000</v>
      </c>
      <c r="E4" s="37">
        <v>100000</v>
      </c>
      <c r="F4" s="37">
        <v>100000</v>
      </c>
      <c r="G4" s="4" t="s">
        <v>157</v>
      </c>
      <c r="H4" s="39" t="s">
        <v>158</v>
      </c>
    </row>
    <row r="5" spans="1:8" ht="66" customHeight="1" x14ac:dyDescent="0.45">
      <c r="A5" s="100"/>
      <c r="B5" s="44">
        <v>13.2</v>
      </c>
      <c r="C5" s="24" t="s">
        <v>225</v>
      </c>
      <c r="D5" s="139">
        <v>215000</v>
      </c>
      <c r="E5" s="37">
        <v>200000</v>
      </c>
      <c r="F5" s="37">
        <v>200000</v>
      </c>
      <c r="G5" s="4"/>
      <c r="H5" s="39"/>
    </row>
    <row r="6" spans="1:8" ht="29.65" customHeight="1" x14ac:dyDescent="0.45">
      <c r="A6" s="100"/>
      <c r="B6" s="44">
        <v>13.3</v>
      </c>
      <c r="C6" s="40" t="s">
        <v>226</v>
      </c>
      <c r="D6" s="140">
        <f>E6</f>
        <v>50000</v>
      </c>
      <c r="E6" s="37">
        <v>50000</v>
      </c>
      <c r="F6" s="37">
        <v>50000</v>
      </c>
      <c r="G6" s="4" t="s">
        <v>157</v>
      </c>
      <c r="H6" s="39" t="s">
        <v>158</v>
      </c>
    </row>
    <row r="7" spans="1:8" ht="49.9" customHeight="1" x14ac:dyDescent="0.45">
      <c r="A7" s="100"/>
      <c r="B7" s="44">
        <v>13.4</v>
      </c>
      <c r="C7" s="24" t="s">
        <v>227</v>
      </c>
      <c r="D7" s="139">
        <f>E7</f>
        <v>15000</v>
      </c>
      <c r="E7" s="37">
        <v>15000</v>
      </c>
      <c r="F7" s="37">
        <v>15000</v>
      </c>
      <c r="G7" s="4" t="s">
        <v>157</v>
      </c>
      <c r="H7" s="39" t="s">
        <v>158</v>
      </c>
    </row>
    <row r="8" spans="1:8" ht="28.5" x14ac:dyDescent="0.45">
      <c r="A8" s="100"/>
      <c r="B8" s="44">
        <v>13.6</v>
      </c>
      <c r="C8" s="40" t="s">
        <v>228</v>
      </c>
      <c r="D8" s="140">
        <f>E8</f>
        <v>130000</v>
      </c>
      <c r="E8" s="36">
        <f>ROUNDUP(127000*1.015,-4)</f>
        <v>130000</v>
      </c>
      <c r="F8" s="36">
        <f>ROUNDUP(127000*1.015,-4)</f>
        <v>130000</v>
      </c>
      <c r="G8" s="4" t="s">
        <v>157</v>
      </c>
      <c r="H8" s="39" t="s">
        <v>158</v>
      </c>
    </row>
    <row r="9" spans="1:8" ht="40.9" customHeight="1" x14ac:dyDescent="0.45">
      <c r="A9" s="100"/>
      <c r="B9" s="44">
        <v>13.7</v>
      </c>
      <c r="C9" s="24" t="s">
        <v>229</v>
      </c>
      <c r="D9" s="128">
        <f>E9</f>
        <v>5000</v>
      </c>
      <c r="E9" s="25">
        <v>5000</v>
      </c>
      <c r="F9" s="25">
        <v>5000</v>
      </c>
      <c r="G9" s="4" t="s">
        <v>157</v>
      </c>
      <c r="H9" s="39" t="s">
        <v>158</v>
      </c>
    </row>
    <row r="10" spans="1:8" ht="28.5" x14ac:dyDescent="0.45">
      <c r="A10" s="156"/>
      <c r="B10" s="44">
        <v>13.8</v>
      </c>
      <c r="C10" s="24" t="s">
        <v>230</v>
      </c>
      <c r="D10" s="127">
        <f>E10</f>
        <v>10000</v>
      </c>
      <c r="E10" s="37">
        <v>10000</v>
      </c>
      <c r="F10" s="37">
        <v>10000</v>
      </c>
      <c r="G10" s="4" t="s">
        <v>157</v>
      </c>
      <c r="H10" s="39" t="s">
        <v>158</v>
      </c>
    </row>
    <row r="11" spans="1:8" s="125" customFormat="1" ht="28.5" x14ac:dyDescent="0.45">
      <c r="A11" s="157"/>
      <c r="B11" s="149">
        <v>13.9</v>
      </c>
      <c r="C11" s="150" t="s">
        <v>231</v>
      </c>
      <c r="D11" s="151">
        <v>60000</v>
      </c>
      <c r="E11" s="152">
        <v>20000</v>
      </c>
      <c r="F11" s="152">
        <v>20000</v>
      </c>
      <c r="G11" s="39" t="s">
        <v>232</v>
      </c>
      <c r="H11" s="39" t="s">
        <v>233</v>
      </c>
    </row>
    <row r="12" spans="1:8" ht="28.5" x14ac:dyDescent="0.45">
      <c r="A12" s="156"/>
      <c r="B12" s="44" t="s">
        <v>60</v>
      </c>
      <c r="C12" s="24" t="s">
        <v>234</v>
      </c>
      <c r="D12" s="128">
        <f>E12</f>
        <v>15000</v>
      </c>
      <c r="E12" s="25">
        <v>15000</v>
      </c>
      <c r="F12" s="25">
        <v>15000</v>
      </c>
      <c r="G12" s="4" t="s">
        <v>235</v>
      </c>
      <c r="H12" s="39" t="s">
        <v>236</v>
      </c>
    </row>
    <row r="13" spans="1:8" ht="28.5" x14ac:dyDescent="0.45">
      <c r="A13" s="158"/>
      <c r="B13" s="44" t="s">
        <v>237</v>
      </c>
      <c r="C13" s="24" t="s">
        <v>238</v>
      </c>
      <c r="D13" s="128">
        <f>E13</f>
        <v>45000</v>
      </c>
      <c r="E13" s="25">
        <v>45000</v>
      </c>
      <c r="F13" s="25">
        <v>45000</v>
      </c>
      <c r="G13" s="4" t="s">
        <v>157</v>
      </c>
      <c r="H13" s="39" t="s">
        <v>158</v>
      </c>
    </row>
    <row r="14" spans="1:8" ht="28.5" x14ac:dyDescent="0.45">
      <c r="A14" s="158"/>
      <c r="B14" s="44">
        <v>13.13</v>
      </c>
      <c r="C14" s="24" t="s">
        <v>239</v>
      </c>
      <c r="D14" s="127">
        <v>20000</v>
      </c>
      <c r="E14" s="37">
        <v>10000</v>
      </c>
      <c r="F14" s="37">
        <v>10000</v>
      </c>
      <c r="G14" s="4" t="s">
        <v>240</v>
      </c>
      <c r="H14" s="39" t="s">
        <v>241</v>
      </c>
    </row>
    <row r="15" spans="1:8" ht="28.5" x14ac:dyDescent="0.45">
      <c r="A15" s="158"/>
      <c r="B15" s="44">
        <v>13.14</v>
      </c>
      <c r="C15" s="24" t="s">
        <v>242</v>
      </c>
      <c r="D15" s="127">
        <v>50000</v>
      </c>
      <c r="E15" s="37">
        <v>80000</v>
      </c>
      <c r="F15" s="37">
        <v>80000</v>
      </c>
      <c r="G15" s="39" t="s">
        <v>243</v>
      </c>
      <c r="H15" s="39" t="s">
        <v>244</v>
      </c>
    </row>
    <row r="16" spans="1:8" x14ac:dyDescent="0.45">
      <c r="A16" s="158"/>
      <c r="B16" s="44">
        <v>13.15</v>
      </c>
      <c r="C16" s="24" t="s">
        <v>245</v>
      </c>
      <c r="D16" s="127">
        <v>50000</v>
      </c>
      <c r="E16" s="37">
        <v>50000</v>
      </c>
      <c r="F16" s="37">
        <v>0</v>
      </c>
      <c r="G16" s="39" t="s">
        <v>339</v>
      </c>
      <c r="H16" s="39" t="s">
        <v>339</v>
      </c>
    </row>
    <row r="17" spans="1:5" x14ac:dyDescent="0.45">
      <c r="A17" s="17"/>
    </row>
    <row r="18" spans="1:5" x14ac:dyDescent="0.45">
      <c r="E18" s="1"/>
    </row>
    <row r="19" spans="1:5" x14ac:dyDescent="0.45">
      <c r="E19" s="1"/>
    </row>
    <row r="20" spans="1:5" x14ac:dyDescent="0.45">
      <c r="E20" s="20"/>
    </row>
    <row r="21" spans="1:5" x14ac:dyDescent="0.45">
      <c r="E21" s="1"/>
    </row>
    <row r="22" spans="1:5" x14ac:dyDescent="0.45">
      <c r="E22" s="1"/>
    </row>
    <row r="23" spans="1:5" x14ac:dyDescent="0.45">
      <c r="E23" s="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39E9-1CFE-43DA-87EC-99FD7F3A821F}">
  <dimension ref="A1:H27"/>
  <sheetViews>
    <sheetView showGridLines="0" zoomScale="130" zoomScaleNormal="130" workbookViewId="0">
      <selection activeCell="A4" sqref="A4"/>
    </sheetView>
  </sheetViews>
  <sheetFormatPr defaultColWidth="11.33203125" defaultRowHeight="14.25" x14ac:dyDescent="0.45"/>
  <cols>
    <col min="3" max="3" width="33.33203125" customWidth="1"/>
    <col min="4" max="4" width="21.73046875" customWidth="1"/>
    <col min="5" max="5" width="14.265625" bestFit="1" customWidth="1"/>
    <col min="6" max="6" width="17.33203125" customWidth="1"/>
    <col min="7" max="7" width="57.73046875" customWidth="1"/>
    <col min="8" max="8" width="68.33203125" customWidth="1"/>
  </cols>
  <sheetData>
    <row r="1" spans="1:8" x14ac:dyDescent="0.45">
      <c r="A1" s="453" t="s">
        <v>246</v>
      </c>
      <c r="B1" s="453"/>
      <c r="C1" s="453"/>
      <c r="D1" s="453"/>
      <c r="E1" s="453"/>
      <c r="F1" s="453"/>
    </row>
    <row r="3" spans="1:8" ht="28.5" x14ac:dyDescent="0.45">
      <c r="B3" s="83" t="s">
        <v>208</v>
      </c>
      <c r="C3" s="83" t="s">
        <v>209</v>
      </c>
      <c r="D3" s="86">
        <v>2023</v>
      </c>
      <c r="E3" s="86" t="s">
        <v>5</v>
      </c>
      <c r="F3" s="86" t="s">
        <v>6</v>
      </c>
      <c r="G3" s="86" t="s">
        <v>80</v>
      </c>
      <c r="H3" s="90" t="s">
        <v>81</v>
      </c>
    </row>
    <row r="4" spans="1:8" ht="101.65" customHeight="1" x14ac:dyDescent="0.45">
      <c r="B4" s="53">
        <v>14</v>
      </c>
      <c r="C4" s="73" t="s">
        <v>247</v>
      </c>
      <c r="D4" s="54">
        <v>350000</v>
      </c>
      <c r="E4" s="54">
        <v>320000</v>
      </c>
      <c r="F4" s="54">
        <v>320000</v>
      </c>
      <c r="G4" s="98"/>
      <c r="H4" s="99"/>
    </row>
    <row r="5" spans="1:8" ht="100.9" customHeight="1" x14ac:dyDescent="0.45">
      <c r="B5" s="5"/>
      <c r="C5" s="5"/>
      <c r="D5" s="5"/>
      <c r="E5" s="55"/>
      <c r="F5" s="56"/>
      <c r="G5" s="138"/>
    </row>
    <row r="6" spans="1:8" ht="29.65" customHeight="1" x14ac:dyDescent="0.45">
      <c r="B6" s="5"/>
      <c r="C6" s="5"/>
      <c r="D6" s="5"/>
    </row>
    <row r="7" spans="1:8" ht="49.9" customHeight="1" x14ac:dyDescent="0.45">
      <c r="B7" s="5"/>
      <c r="C7" s="5"/>
      <c r="D7" s="5"/>
      <c r="E7" s="10"/>
      <c r="F7" s="9"/>
    </row>
    <row r="8" spans="1:8" ht="57" customHeight="1" x14ac:dyDescent="0.45">
      <c r="B8" s="5"/>
      <c r="C8" s="12"/>
      <c r="D8" s="12"/>
      <c r="E8" s="10"/>
    </row>
    <row r="9" spans="1:8" x14ac:dyDescent="0.45">
      <c r="B9" s="5"/>
      <c r="C9" s="5"/>
      <c r="D9" s="5"/>
      <c r="E9" s="10"/>
    </row>
    <row r="10" spans="1:8" x14ac:dyDescent="0.45">
      <c r="B10" s="5"/>
      <c r="C10" s="5"/>
      <c r="D10" s="5"/>
    </row>
    <row r="11" spans="1:8" x14ac:dyDescent="0.45">
      <c r="A11" s="6"/>
      <c r="C11" s="6"/>
      <c r="D11" s="6"/>
    </row>
    <row r="13" spans="1:8" x14ac:dyDescent="0.45">
      <c r="A13" s="6"/>
    </row>
    <row r="14" spans="1:8" x14ac:dyDescent="0.45">
      <c r="A14" s="14"/>
    </row>
    <row r="15" spans="1:8" x14ac:dyDescent="0.45">
      <c r="A15" s="15"/>
    </row>
    <row r="16" spans="1:8" x14ac:dyDescent="0.45">
      <c r="A16" s="14"/>
    </row>
    <row r="17" spans="1:1" x14ac:dyDescent="0.45">
      <c r="A17" s="14"/>
    </row>
    <row r="18" spans="1:1" x14ac:dyDescent="0.45">
      <c r="A18" s="14"/>
    </row>
    <row r="19" spans="1:1" x14ac:dyDescent="0.45">
      <c r="A19" s="16"/>
    </row>
    <row r="20" spans="1:1" x14ac:dyDescent="0.45">
      <c r="A20" s="17"/>
    </row>
    <row r="21" spans="1:1" x14ac:dyDescent="0.45">
      <c r="A21" s="17"/>
    </row>
    <row r="22" spans="1:1" x14ac:dyDescent="0.45">
      <c r="A22" s="18"/>
    </row>
    <row r="23" spans="1:1" x14ac:dyDescent="0.45">
      <c r="A23" s="17"/>
    </row>
    <row r="24" spans="1:1" x14ac:dyDescent="0.45">
      <c r="A24" s="16"/>
    </row>
    <row r="25" spans="1:1" x14ac:dyDescent="0.45">
      <c r="A25" s="17"/>
    </row>
    <row r="26" spans="1:1" x14ac:dyDescent="0.45">
      <c r="A26" s="17"/>
    </row>
    <row r="27" spans="1:1" x14ac:dyDescent="0.45">
      <c r="A27" s="17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E28C3-0ECE-47E6-882E-674F386446A6}">
  <sheetPr>
    <tabColor rgb="FFCCCCFF"/>
  </sheetPr>
  <dimension ref="A1:H27"/>
  <sheetViews>
    <sheetView showGridLines="0" topLeftCell="E1" zoomScale="130" zoomScaleNormal="130" workbookViewId="0">
      <selection activeCell="E36" sqref="E36"/>
    </sheetView>
  </sheetViews>
  <sheetFormatPr defaultColWidth="11.33203125" defaultRowHeight="14.25" x14ac:dyDescent="0.45"/>
  <cols>
    <col min="2" max="2" width="14.73046875" customWidth="1"/>
    <col min="3" max="4" width="32.59765625" customWidth="1"/>
    <col min="5" max="5" width="14.73046875" bestFit="1" customWidth="1"/>
    <col min="6" max="6" width="49.73046875" customWidth="1"/>
    <col min="7" max="7" width="52.59765625" customWidth="1"/>
  </cols>
  <sheetData>
    <row r="1" spans="1:8" x14ac:dyDescent="0.45">
      <c r="A1" s="453" t="s">
        <v>248</v>
      </c>
      <c r="B1" s="453"/>
      <c r="C1" s="453"/>
      <c r="D1" s="453"/>
      <c r="E1" s="453"/>
    </row>
    <row r="4" spans="1:8" ht="28.5" x14ac:dyDescent="0.45">
      <c r="B4" s="83" t="s">
        <v>208</v>
      </c>
      <c r="C4" s="83" t="s">
        <v>209</v>
      </c>
      <c r="D4" s="86">
        <v>2025</v>
      </c>
      <c r="E4" s="86">
        <v>2026</v>
      </c>
      <c r="F4" s="86" t="s">
        <v>80</v>
      </c>
      <c r="G4" s="90" t="s">
        <v>81</v>
      </c>
    </row>
    <row r="5" spans="1:8" ht="75" customHeight="1" x14ac:dyDescent="0.45">
      <c r="B5" s="24">
        <v>17.100000000000001</v>
      </c>
      <c r="C5" s="40" t="s">
        <v>249</v>
      </c>
      <c r="D5" s="37">
        <f>ROUNDUP((0.81*27000*12),-4)</f>
        <v>270000</v>
      </c>
      <c r="E5" s="37">
        <f>ROUNDUP((0.81*26000*12),-4)</f>
        <v>260000</v>
      </c>
      <c r="F5" s="4" t="s">
        <v>561</v>
      </c>
      <c r="G5" s="184" t="s">
        <v>415</v>
      </c>
    </row>
    <row r="6" spans="1:8" ht="42.75" x14ac:dyDescent="0.45">
      <c r="B6" s="24">
        <v>17.2</v>
      </c>
      <c r="C6" s="40" t="s">
        <v>250</v>
      </c>
      <c r="D6" s="37">
        <v>25000</v>
      </c>
      <c r="E6" s="37">
        <v>100000</v>
      </c>
      <c r="F6" s="98" t="s">
        <v>416</v>
      </c>
      <c r="G6" s="99" t="s">
        <v>417</v>
      </c>
      <c r="H6" s="96"/>
    </row>
    <row r="7" spans="1:8" x14ac:dyDescent="0.45">
      <c r="E7" s="9"/>
    </row>
    <row r="8" spans="1:8" x14ac:dyDescent="0.45">
      <c r="E8" s="9"/>
      <c r="F8" s="95"/>
    </row>
    <row r="9" spans="1:8" x14ac:dyDescent="0.45">
      <c r="F9" s="136"/>
    </row>
    <row r="10" spans="1:8" x14ac:dyDescent="0.45">
      <c r="E10" s="29"/>
    </row>
    <row r="11" spans="1:8" x14ac:dyDescent="0.45">
      <c r="A11" s="6"/>
    </row>
    <row r="13" spans="1:8" x14ac:dyDescent="0.45">
      <c r="A13" s="6"/>
    </row>
    <row r="14" spans="1:8" x14ac:dyDescent="0.45">
      <c r="A14" s="14"/>
    </row>
    <row r="15" spans="1:8" x14ac:dyDescent="0.45">
      <c r="A15" s="15"/>
    </row>
    <row r="16" spans="1:8" x14ac:dyDescent="0.45">
      <c r="A16" s="14"/>
    </row>
    <row r="17" spans="1:1" x14ac:dyDescent="0.45">
      <c r="A17" s="14"/>
    </row>
    <row r="18" spans="1:1" x14ac:dyDescent="0.45">
      <c r="A18" s="14"/>
    </row>
    <row r="19" spans="1:1" x14ac:dyDescent="0.45">
      <c r="A19" s="16"/>
    </row>
    <row r="20" spans="1:1" x14ac:dyDescent="0.45">
      <c r="A20" s="17"/>
    </row>
    <row r="21" spans="1:1" x14ac:dyDescent="0.45">
      <c r="A21" s="17"/>
    </row>
    <row r="22" spans="1:1" x14ac:dyDescent="0.45">
      <c r="A22" s="18"/>
    </row>
    <row r="23" spans="1:1" x14ac:dyDescent="0.45">
      <c r="A23" s="17"/>
    </row>
    <row r="24" spans="1:1" x14ac:dyDescent="0.45">
      <c r="A24" s="16"/>
    </row>
    <row r="25" spans="1:1" x14ac:dyDescent="0.45">
      <c r="A25" s="17"/>
    </row>
    <row r="26" spans="1:1" x14ac:dyDescent="0.45">
      <c r="A26" s="17"/>
    </row>
    <row r="27" spans="1:1" x14ac:dyDescent="0.45">
      <c r="A27" s="17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0CB05-8C4B-4337-8FA4-111ED13C65AA}">
  <dimension ref="A1:I27"/>
  <sheetViews>
    <sheetView showGridLines="0" workbookViewId="0">
      <selection activeCell="D7" sqref="D7"/>
    </sheetView>
  </sheetViews>
  <sheetFormatPr defaultColWidth="11.33203125" defaultRowHeight="14.25" x14ac:dyDescent="0.45"/>
  <cols>
    <col min="3" max="4" width="29.73046875" customWidth="1"/>
    <col min="5" max="5" width="12.73046875" bestFit="1" customWidth="1"/>
    <col min="6" max="6" width="25" customWidth="1"/>
    <col min="7" max="7" width="49.796875" customWidth="1"/>
    <col min="8" max="8" width="57" customWidth="1"/>
    <col min="9" max="9" width="14.73046875" customWidth="1"/>
  </cols>
  <sheetData>
    <row r="1" spans="1:9" x14ac:dyDescent="0.45">
      <c r="A1" s="453" t="s">
        <v>251</v>
      </c>
      <c r="B1" s="453"/>
      <c r="C1" s="453"/>
      <c r="D1" s="453"/>
      <c r="E1" s="453"/>
      <c r="F1" s="453"/>
    </row>
    <row r="4" spans="1:9" ht="28.5" x14ac:dyDescent="0.45">
      <c r="B4" s="83" t="s">
        <v>208</v>
      </c>
      <c r="C4" s="83" t="s">
        <v>209</v>
      </c>
      <c r="D4" s="86">
        <v>2023</v>
      </c>
      <c r="E4" s="86" t="s">
        <v>5</v>
      </c>
      <c r="F4" s="86" t="s">
        <v>5</v>
      </c>
      <c r="G4" s="86" t="s">
        <v>80</v>
      </c>
      <c r="H4" s="90" t="s">
        <v>81</v>
      </c>
    </row>
    <row r="5" spans="1:9" ht="75" customHeight="1" x14ac:dyDescent="0.45">
      <c r="B5" s="24">
        <v>16.100000000000001</v>
      </c>
      <c r="C5" s="40" t="s">
        <v>252</v>
      </c>
      <c r="D5" s="145">
        <v>40000</v>
      </c>
      <c r="E5" s="37">
        <v>40000</v>
      </c>
      <c r="F5" s="37">
        <v>40000</v>
      </c>
      <c r="G5" s="98"/>
      <c r="H5" s="99"/>
      <c r="I5" s="96"/>
    </row>
    <row r="6" spans="1:9" ht="28.5" x14ac:dyDescent="0.45">
      <c r="B6" s="24">
        <v>16.2</v>
      </c>
      <c r="C6" s="40" t="s">
        <v>253</v>
      </c>
      <c r="D6" s="145">
        <v>115000</v>
      </c>
      <c r="E6" s="25">
        <v>115000</v>
      </c>
      <c r="F6" s="25">
        <v>115000</v>
      </c>
      <c r="G6" s="98"/>
      <c r="H6" s="99"/>
      <c r="I6" s="96"/>
    </row>
    <row r="7" spans="1:9" ht="28.5" x14ac:dyDescent="0.45">
      <c r="B7" s="129">
        <v>16.3</v>
      </c>
      <c r="C7" s="132" t="s">
        <v>221</v>
      </c>
      <c r="D7" s="145"/>
      <c r="E7" s="130">
        <v>0</v>
      </c>
      <c r="F7" s="130">
        <v>0</v>
      </c>
      <c r="G7" s="131" t="s">
        <v>254</v>
      </c>
      <c r="H7" s="133" t="s">
        <v>255</v>
      </c>
    </row>
    <row r="10" spans="1:9" x14ac:dyDescent="0.45">
      <c r="B10" s="5"/>
      <c r="E10" s="7"/>
      <c r="F10" s="7"/>
      <c r="G10" s="137" t="s">
        <v>256</v>
      </c>
    </row>
    <row r="11" spans="1:9" x14ac:dyDescent="0.45">
      <c r="A11" s="6"/>
    </row>
    <row r="13" spans="1:9" x14ac:dyDescent="0.45">
      <c r="A13" s="6"/>
    </row>
    <row r="14" spans="1:9" x14ac:dyDescent="0.45">
      <c r="A14" s="14"/>
    </row>
    <row r="15" spans="1:9" x14ac:dyDescent="0.45">
      <c r="A15" s="15"/>
      <c r="C15" s="1"/>
      <c r="D15" s="1"/>
    </row>
    <row r="16" spans="1:9" x14ac:dyDescent="0.45">
      <c r="A16" s="14"/>
      <c r="C16" s="1"/>
      <c r="D16" s="1"/>
    </row>
    <row r="17" spans="1:4" x14ac:dyDescent="0.45">
      <c r="A17" s="14"/>
      <c r="C17" s="1"/>
      <c r="D17" s="1"/>
    </row>
    <row r="18" spans="1:4" x14ac:dyDescent="0.45">
      <c r="A18" s="14"/>
    </row>
    <row r="19" spans="1:4" x14ac:dyDescent="0.45">
      <c r="A19" s="16"/>
    </row>
    <row r="20" spans="1:4" x14ac:dyDescent="0.45">
      <c r="A20" s="17"/>
    </row>
    <row r="21" spans="1:4" x14ac:dyDescent="0.45">
      <c r="A21" s="17"/>
    </row>
    <row r="22" spans="1:4" x14ac:dyDescent="0.45">
      <c r="A22" s="18"/>
    </row>
    <row r="23" spans="1:4" x14ac:dyDescent="0.45">
      <c r="A23" s="17"/>
    </row>
    <row r="24" spans="1:4" x14ac:dyDescent="0.45">
      <c r="A24" s="16"/>
    </row>
    <row r="25" spans="1:4" x14ac:dyDescent="0.45">
      <c r="A25" s="17"/>
    </row>
    <row r="26" spans="1:4" x14ac:dyDescent="0.45">
      <c r="A26" s="17"/>
    </row>
    <row r="27" spans="1:4" x14ac:dyDescent="0.45">
      <c r="A27" s="17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64E06-2CFB-4BC8-AF98-A8D85A4A8FEF}">
  <sheetPr>
    <tabColor rgb="FFCCCCFF"/>
  </sheetPr>
  <dimension ref="A1:I30"/>
  <sheetViews>
    <sheetView showGridLines="0" zoomScale="130" zoomScaleNormal="130" workbookViewId="0">
      <selection activeCell="F9" sqref="F9"/>
    </sheetView>
  </sheetViews>
  <sheetFormatPr defaultColWidth="11.33203125" defaultRowHeight="14.25" x14ac:dyDescent="0.45"/>
  <cols>
    <col min="1" max="1" width="17.06640625" customWidth="1"/>
    <col min="2" max="2" width="12.73046875" customWidth="1"/>
    <col min="3" max="3" width="31.73046875" customWidth="1"/>
    <col min="4" max="4" width="16.73046875" customWidth="1"/>
    <col min="5" max="5" width="14.265625" bestFit="1" customWidth="1"/>
    <col min="6" max="6" width="55.06640625" customWidth="1"/>
    <col min="7" max="7" width="62.33203125" customWidth="1"/>
    <col min="8" max="8" width="24.796875" customWidth="1"/>
  </cols>
  <sheetData>
    <row r="1" spans="1:9" x14ac:dyDescent="0.45">
      <c r="A1" s="440" t="s">
        <v>77</v>
      </c>
      <c r="B1" s="440"/>
      <c r="C1" s="440"/>
      <c r="D1" s="440"/>
      <c r="E1" s="440"/>
    </row>
    <row r="2" spans="1:9" x14ac:dyDescent="0.45">
      <c r="C2" t="s">
        <v>371</v>
      </c>
      <c r="D2" s="160">
        <f>C23</f>
        <v>27000</v>
      </c>
      <c r="E2" s="160">
        <v>26000</v>
      </c>
    </row>
    <row r="3" spans="1:9" ht="28.5" x14ac:dyDescent="0.45">
      <c r="B3" s="83" t="s">
        <v>78</v>
      </c>
      <c r="C3" s="83" t="s">
        <v>79</v>
      </c>
      <c r="D3" s="161">
        <v>2025</v>
      </c>
      <c r="E3" s="162">
        <v>2026</v>
      </c>
      <c r="F3" s="26" t="s">
        <v>80</v>
      </c>
      <c r="G3" s="26" t="s">
        <v>81</v>
      </c>
      <c r="I3" s="5"/>
    </row>
    <row r="4" spans="1:9" ht="141" customHeight="1" x14ac:dyDescent="0.45">
      <c r="B4" s="24">
        <v>1.1000000000000001</v>
      </c>
      <c r="C4" s="24" t="s">
        <v>82</v>
      </c>
      <c r="D4" s="183">
        <f>D2*48*12</f>
        <v>15552000</v>
      </c>
      <c r="E4" s="183">
        <f>E2*48*12</f>
        <v>14976000</v>
      </c>
      <c r="F4" s="4" t="s">
        <v>557</v>
      </c>
      <c r="G4" s="180"/>
      <c r="I4" s="2"/>
    </row>
    <row r="5" spans="1:9" ht="75" hidden="1" customHeight="1" x14ac:dyDescent="0.45">
      <c r="B5" s="24">
        <v>1.2</v>
      </c>
      <c r="C5" s="40" t="s">
        <v>340</v>
      </c>
      <c r="D5" s="40"/>
      <c r="E5" s="37">
        <v>0</v>
      </c>
      <c r="F5" s="4"/>
      <c r="G5" s="4"/>
    </row>
    <row r="6" spans="1:9" ht="28.5" x14ac:dyDescent="0.45">
      <c r="B6" s="24">
        <v>1.3</v>
      </c>
      <c r="C6" s="40" t="s">
        <v>83</v>
      </c>
      <c r="D6" s="183">
        <f>C29</f>
        <v>480000</v>
      </c>
      <c r="E6" s="183">
        <f>C30</f>
        <v>494000</v>
      </c>
      <c r="F6" s="4" t="s">
        <v>435</v>
      </c>
      <c r="G6" s="4" t="s">
        <v>469</v>
      </c>
    </row>
    <row r="9" spans="1:9" x14ac:dyDescent="0.45">
      <c r="A9" s="6"/>
      <c r="C9" s="6"/>
      <c r="D9" s="6"/>
      <c r="E9" s="100"/>
    </row>
    <row r="10" spans="1:9" x14ac:dyDescent="0.45">
      <c r="C10" s="178" t="s">
        <v>371</v>
      </c>
    </row>
    <row r="11" spans="1:9" x14ac:dyDescent="0.45">
      <c r="B11" s="177">
        <v>45108</v>
      </c>
      <c r="C11" s="176">
        <v>25233</v>
      </c>
    </row>
    <row r="12" spans="1:9" x14ac:dyDescent="0.45">
      <c r="B12" s="177">
        <v>45139</v>
      </c>
      <c r="C12" s="176">
        <v>25376</v>
      </c>
    </row>
    <row r="13" spans="1:9" x14ac:dyDescent="0.45">
      <c r="B13" s="177">
        <v>45170</v>
      </c>
      <c r="C13" s="176">
        <v>25635</v>
      </c>
    </row>
    <row r="14" spans="1:9" x14ac:dyDescent="0.45">
      <c r="B14" s="177">
        <v>45200</v>
      </c>
      <c r="C14" s="176">
        <v>25645</v>
      </c>
    </row>
    <row r="15" spans="1:9" x14ac:dyDescent="0.45">
      <c r="B15" s="177">
        <v>45231</v>
      </c>
      <c r="C15" s="176">
        <v>26292</v>
      </c>
    </row>
    <row r="16" spans="1:9" x14ac:dyDescent="0.45">
      <c r="B16" s="177">
        <v>45261</v>
      </c>
      <c r="C16" s="176">
        <v>27137</v>
      </c>
    </row>
    <row r="17" spans="2:4" x14ac:dyDescent="0.45">
      <c r="B17" s="177">
        <v>45292</v>
      </c>
      <c r="C17" s="176">
        <v>27638</v>
      </c>
    </row>
    <row r="18" spans="2:4" x14ac:dyDescent="0.45">
      <c r="B18" s="177">
        <v>45323</v>
      </c>
      <c r="C18" s="176">
        <v>28010</v>
      </c>
    </row>
    <row r="19" spans="2:4" x14ac:dyDescent="0.45">
      <c r="B19" s="177">
        <v>45352</v>
      </c>
      <c r="C19" s="176">
        <v>28450</v>
      </c>
    </row>
    <row r="20" spans="2:4" x14ac:dyDescent="0.45">
      <c r="B20" s="177">
        <v>45383</v>
      </c>
      <c r="C20" s="176">
        <v>28955</v>
      </c>
    </row>
    <row r="21" spans="2:4" x14ac:dyDescent="0.45">
      <c r="B21" s="177">
        <v>45413</v>
      </c>
      <c r="C21" s="176">
        <v>28645</v>
      </c>
    </row>
    <row r="22" spans="2:4" x14ac:dyDescent="0.45">
      <c r="B22" s="177">
        <v>45444</v>
      </c>
      <c r="C22" s="176">
        <v>28054</v>
      </c>
    </row>
    <row r="23" spans="2:4" ht="14.65" thickBot="1" x14ac:dyDescent="0.5">
      <c r="C23" s="179">
        <f>ROUNDDOWN(AVERAGE(C11:C22),-2)</f>
        <v>27000</v>
      </c>
      <c r="D23" t="s">
        <v>556</v>
      </c>
    </row>
    <row r="24" spans="2:4" ht="14.65" thickTop="1" x14ac:dyDescent="0.45"/>
    <row r="27" spans="2:4" x14ac:dyDescent="0.45">
      <c r="C27" s="178" t="s">
        <v>558</v>
      </c>
    </row>
    <row r="28" spans="2:4" x14ac:dyDescent="0.45">
      <c r="C28" s="181">
        <v>16000000</v>
      </c>
    </row>
    <row r="29" spans="2:4" x14ac:dyDescent="0.45">
      <c r="B29">
        <v>2025</v>
      </c>
      <c r="C29" s="182">
        <f>0.03*C28</f>
        <v>480000</v>
      </c>
      <c r="D29" t="s">
        <v>559</v>
      </c>
    </row>
    <row r="30" spans="2:4" x14ac:dyDescent="0.45">
      <c r="B30">
        <v>2026</v>
      </c>
      <c r="C30" s="182">
        <f>ROUNDDOWN(((C28+C29)*0.03),-3)</f>
        <v>494000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D1E48-3E88-4BED-8370-E624A36F2C40}">
  <dimension ref="A1:H27"/>
  <sheetViews>
    <sheetView showGridLines="0" workbookViewId="0">
      <selection activeCell="D6" sqref="D6"/>
    </sheetView>
  </sheetViews>
  <sheetFormatPr defaultColWidth="11.33203125" defaultRowHeight="14.25" x14ac:dyDescent="0.45"/>
  <cols>
    <col min="3" max="4" width="29.73046875" customWidth="1"/>
    <col min="7" max="7" width="37.73046875" customWidth="1"/>
    <col min="8" max="8" width="46.73046875" customWidth="1"/>
  </cols>
  <sheetData>
    <row r="1" spans="1:8" x14ac:dyDescent="0.45">
      <c r="A1" s="453" t="s">
        <v>257</v>
      </c>
      <c r="B1" s="453"/>
      <c r="C1" s="453"/>
      <c r="D1" s="453"/>
      <c r="E1" s="453"/>
      <c r="F1" s="453"/>
    </row>
    <row r="4" spans="1:8" ht="28.5" x14ac:dyDescent="0.45">
      <c r="B4" s="83" t="s">
        <v>208</v>
      </c>
      <c r="C4" s="83" t="s">
        <v>209</v>
      </c>
      <c r="D4" s="86">
        <v>2023</v>
      </c>
      <c r="E4" s="86" t="s">
        <v>5</v>
      </c>
      <c r="F4" s="86" t="s">
        <v>6</v>
      </c>
      <c r="G4" s="86" t="s">
        <v>80</v>
      </c>
      <c r="H4" s="90" t="s">
        <v>81</v>
      </c>
    </row>
    <row r="5" spans="1:8" ht="75" customHeight="1" x14ac:dyDescent="0.45">
      <c r="B5" s="24">
        <v>17</v>
      </c>
      <c r="C5" s="24" t="s">
        <v>67</v>
      </c>
      <c r="D5" s="37">
        <v>2500</v>
      </c>
      <c r="E5" s="37">
        <v>2500</v>
      </c>
      <c r="F5" s="37">
        <v>2500</v>
      </c>
      <c r="G5" s="4"/>
      <c r="H5" s="89"/>
    </row>
    <row r="6" spans="1:8" x14ac:dyDescent="0.45">
      <c r="B6" s="5"/>
      <c r="C6" s="5"/>
      <c r="D6" s="5"/>
      <c r="G6" s="3"/>
    </row>
    <row r="8" spans="1:8" x14ac:dyDescent="0.45">
      <c r="G8" s="136" t="s">
        <v>256</v>
      </c>
    </row>
    <row r="11" spans="1:8" x14ac:dyDescent="0.45">
      <c r="A11" s="6"/>
    </row>
    <row r="13" spans="1:8" x14ac:dyDescent="0.45">
      <c r="A13" s="6"/>
    </row>
    <row r="14" spans="1:8" x14ac:dyDescent="0.45">
      <c r="A14" s="14"/>
    </row>
    <row r="15" spans="1:8" x14ac:dyDescent="0.45">
      <c r="A15" s="15"/>
    </row>
    <row r="16" spans="1:8" x14ac:dyDescent="0.45">
      <c r="A16" s="14"/>
    </row>
    <row r="17" spans="1:1" x14ac:dyDescent="0.45">
      <c r="A17" s="14"/>
    </row>
    <row r="18" spans="1:1" x14ac:dyDescent="0.45">
      <c r="A18" s="14"/>
    </row>
    <row r="19" spans="1:1" x14ac:dyDescent="0.45">
      <c r="A19" s="16"/>
    </row>
    <row r="20" spans="1:1" x14ac:dyDescent="0.45">
      <c r="A20" s="17"/>
    </row>
    <row r="21" spans="1:1" x14ac:dyDescent="0.45">
      <c r="A21" s="17"/>
    </row>
    <row r="22" spans="1:1" x14ac:dyDescent="0.45">
      <c r="A22" s="18"/>
    </row>
    <row r="23" spans="1:1" x14ac:dyDescent="0.45">
      <c r="A23" s="17"/>
    </row>
    <row r="24" spans="1:1" x14ac:dyDescent="0.45">
      <c r="A24" s="16"/>
    </row>
    <row r="25" spans="1:1" x14ac:dyDescent="0.45">
      <c r="A25" s="17"/>
    </row>
    <row r="26" spans="1:1" x14ac:dyDescent="0.45">
      <c r="A26" s="17"/>
    </row>
    <row r="27" spans="1:1" x14ac:dyDescent="0.45">
      <c r="A27" s="17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15178-3475-4649-9569-192F7F71A840}">
  <dimension ref="A1:G27"/>
  <sheetViews>
    <sheetView showGridLines="0" workbookViewId="0">
      <selection activeCell="F30" sqref="F30"/>
    </sheetView>
  </sheetViews>
  <sheetFormatPr defaultColWidth="11.33203125" defaultRowHeight="14.25" x14ac:dyDescent="0.45"/>
  <cols>
    <col min="3" max="3" width="29.73046875" customWidth="1"/>
    <col min="6" max="6" width="37.73046875" customWidth="1"/>
    <col min="7" max="7" width="46" customWidth="1"/>
  </cols>
  <sheetData>
    <row r="1" spans="1:7" x14ac:dyDescent="0.45">
      <c r="A1" s="453" t="s">
        <v>258</v>
      </c>
      <c r="B1" s="453"/>
      <c r="C1" s="453"/>
      <c r="D1" s="453"/>
      <c r="E1" s="453"/>
    </row>
    <row r="4" spans="1:7" ht="28.5" x14ac:dyDescent="0.45">
      <c r="B4" s="83" t="s">
        <v>208</v>
      </c>
      <c r="C4" s="83" t="s">
        <v>209</v>
      </c>
      <c r="D4" s="86" t="s">
        <v>5</v>
      </c>
      <c r="E4" s="86" t="s">
        <v>6</v>
      </c>
      <c r="F4" s="86" t="s">
        <v>80</v>
      </c>
      <c r="G4" s="86" t="s">
        <v>81</v>
      </c>
    </row>
    <row r="5" spans="1:7" ht="75" customHeight="1" x14ac:dyDescent="0.45">
      <c r="B5" s="24">
        <v>18</v>
      </c>
      <c r="C5" s="24" t="s">
        <v>259</v>
      </c>
      <c r="D5" s="37">
        <v>0</v>
      </c>
      <c r="E5" s="37">
        <v>0</v>
      </c>
      <c r="F5" s="4" t="s">
        <v>260</v>
      </c>
      <c r="G5" s="89" t="s">
        <v>261</v>
      </c>
    </row>
    <row r="6" spans="1:7" x14ac:dyDescent="0.45">
      <c r="B6" s="5"/>
      <c r="C6" s="5"/>
      <c r="F6" s="3"/>
    </row>
    <row r="11" spans="1:7" x14ac:dyDescent="0.45">
      <c r="A11" s="6"/>
    </row>
    <row r="13" spans="1:7" x14ac:dyDescent="0.45">
      <c r="A13" s="6"/>
    </row>
    <row r="14" spans="1:7" x14ac:dyDescent="0.45">
      <c r="A14" s="14"/>
    </row>
    <row r="15" spans="1:7" x14ac:dyDescent="0.45">
      <c r="A15" s="15"/>
    </row>
    <row r="16" spans="1:7" x14ac:dyDescent="0.45">
      <c r="A16" s="14"/>
    </row>
    <row r="17" spans="1:1" x14ac:dyDescent="0.45">
      <c r="A17" s="14"/>
    </row>
    <row r="18" spans="1:1" x14ac:dyDescent="0.45">
      <c r="A18" s="14"/>
    </row>
    <row r="19" spans="1:1" x14ac:dyDescent="0.45">
      <c r="A19" s="16"/>
    </row>
    <row r="20" spans="1:1" x14ac:dyDescent="0.45">
      <c r="A20" s="17"/>
    </row>
    <row r="21" spans="1:1" x14ac:dyDescent="0.45">
      <c r="A21" s="17"/>
    </row>
    <row r="22" spans="1:1" x14ac:dyDescent="0.45">
      <c r="A22" s="18"/>
    </row>
    <row r="23" spans="1:1" x14ac:dyDescent="0.45">
      <c r="A23" s="17"/>
    </row>
    <row r="24" spans="1:1" x14ac:dyDescent="0.45">
      <c r="A24" s="16"/>
    </row>
    <row r="25" spans="1:1" x14ac:dyDescent="0.45">
      <c r="A25" s="17"/>
    </row>
    <row r="26" spans="1:1" x14ac:dyDescent="0.45">
      <c r="A26" s="17"/>
    </row>
    <row r="27" spans="1:1" x14ac:dyDescent="0.45">
      <c r="A27" s="17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1FA49-F460-4CE7-99E0-4A413374AD40}">
  <dimension ref="A1:H26"/>
  <sheetViews>
    <sheetView showGridLines="0" workbookViewId="0">
      <selection activeCell="D6" sqref="D6"/>
    </sheetView>
  </sheetViews>
  <sheetFormatPr defaultColWidth="11.33203125" defaultRowHeight="14.25" x14ac:dyDescent="0.45"/>
  <cols>
    <col min="3" max="4" width="29.73046875" customWidth="1"/>
    <col min="5" max="5" width="12.73046875" bestFit="1" customWidth="1"/>
    <col min="6" max="6" width="30.59765625" customWidth="1"/>
    <col min="7" max="7" width="50.33203125" customWidth="1"/>
    <col min="8" max="8" width="43.33203125" customWidth="1"/>
  </cols>
  <sheetData>
    <row r="1" spans="1:8" x14ac:dyDescent="0.45">
      <c r="A1" s="453" t="s">
        <v>262</v>
      </c>
      <c r="B1" s="453"/>
      <c r="C1" s="453"/>
      <c r="D1" s="453"/>
      <c r="E1" s="453"/>
      <c r="F1" s="453"/>
    </row>
    <row r="4" spans="1:8" ht="28.5" x14ac:dyDescent="0.45">
      <c r="B4" s="86" t="s">
        <v>208</v>
      </c>
      <c r="C4" s="86" t="s">
        <v>209</v>
      </c>
      <c r="D4" s="86">
        <v>2023</v>
      </c>
      <c r="E4" s="26" t="s">
        <v>5</v>
      </c>
      <c r="F4" s="26" t="s">
        <v>6</v>
      </c>
      <c r="G4" s="26" t="s">
        <v>80</v>
      </c>
      <c r="H4" s="26" t="s">
        <v>81</v>
      </c>
    </row>
    <row r="5" spans="1:8" ht="75" customHeight="1" x14ac:dyDescent="0.45">
      <c r="B5" s="24">
        <v>19.100000000000001</v>
      </c>
      <c r="C5" s="24" t="s">
        <v>263</v>
      </c>
      <c r="D5" s="36">
        <v>300000</v>
      </c>
      <c r="E5" s="36">
        <v>300000</v>
      </c>
      <c r="F5" s="36">
        <v>300000</v>
      </c>
      <c r="G5" s="98" t="s">
        <v>157</v>
      </c>
      <c r="H5" s="99" t="s">
        <v>158</v>
      </c>
    </row>
    <row r="6" spans="1:8" ht="28.5" x14ac:dyDescent="0.45">
      <c r="B6" s="24">
        <v>19.2</v>
      </c>
      <c r="C6" s="24" t="s">
        <v>264</v>
      </c>
      <c r="D6" s="25">
        <v>150000</v>
      </c>
      <c r="E6" s="25">
        <v>150000</v>
      </c>
      <c r="F6" s="25">
        <v>150000</v>
      </c>
      <c r="G6" s="98" t="s">
        <v>157</v>
      </c>
      <c r="H6" s="99" t="s">
        <v>158</v>
      </c>
    </row>
    <row r="9" spans="1:8" x14ac:dyDescent="0.45">
      <c r="F9" s="136"/>
    </row>
    <row r="10" spans="1:8" x14ac:dyDescent="0.45">
      <c r="A10" s="6"/>
    </row>
    <row r="12" spans="1:8" x14ac:dyDescent="0.45">
      <c r="A12" s="6"/>
    </row>
    <row r="13" spans="1:8" x14ac:dyDescent="0.45">
      <c r="A13" s="14"/>
    </row>
    <row r="14" spans="1:8" x14ac:dyDescent="0.45">
      <c r="A14" s="15"/>
    </row>
    <row r="15" spans="1:8" x14ac:dyDescent="0.45">
      <c r="A15" s="14"/>
    </row>
    <row r="16" spans="1:8" x14ac:dyDescent="0.45">
      <c r="A16" s="14"/>
    </row>
    <row r="17" spans="1:1" x14ac:dyDescent="0.45">
      <c r="A17" s="14"/>
    </row>
    <row r="18" spans="1:1" x14ac:dyDescent="0.45">
      <c r="A18" s="16"/>
    </row>
    <row r="19" spans="1:1" x14ac:dyDescent="0.45">
      <c r="A19" s="17"/>
    </row>
    <row r="20" spans="1:1" x14ac:dyDescent="0.45">
      <c r="A20" s="17"/>
    </row>
    <row r="21" spans="1:1" x14ac:dyDescent="0.45">
      <c r="A21" s="18"/>
    </row>
    <row r="22" spans="1:1" x14ac:dyDescent="0.45">
      <c r="A22" s="17"/>
    </row>
    <row r="23" spans="1:1" x14ac:dyDescent="0.45">
      <c r="A23" s="16"/>
    </row>
    <row r="24" spans="1:1" x14ac:dyDescent="0.45">
      <c r="A24" s="17"/>
    </row>
    <row r="25" spans="1:1" x14ac:dyDescent="0.45">
      <c r="A25" s="17"/>
    </row>
    <row r="26" spans="1:1" x14ac:dyDescent="0.45">
      <c r="A26" s="17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9CA76-E27D-4D5F-916A-564F5FB4970D}">
  <sheetPr>
    <tabColor rgb="FF92D050"/>
  </sheetPr>
  <dimension ref="A1:G37"/>
  <sheetViews>
    <sheetView showGridLines="0" workbookViewId="0">
      <selection activeCell="G13" sqref="G13"/>
    </sheetView>
  </sheetViews>
  <sheetFormatPr defaultColWidth="11.33203125" defaultRowHeight="14.25" x14ac:dyDescent="0.45"/>
  <cols>
    <col min="3" max="3" width="33.33203125" customWidth="1"/>
    <col min="4" max="4" width="14.265625" bestFit="1" customWidth="1"/>
    <col min="5" max="5" width="17.33203125" customWidth="1"/>
    <col min="6" max="6" width="84.73046875" customWidth="1"/>
    <col min="7" max="7" width="44" customWidth="1"/>
  </cols>
  <sheetData>
    <row r="1" spans="1:7" x14ac:dyDescent="0.45">
      <c r="A1" s="453" t="s">
        <v>265</v>
      </c>
      <c r="B1" s="453"/>
      <c r="C1" s="453"/>
      <c r="D1" s="453"/>
      <c r="E1" s="453"/>
    </row>
    <row r="3" spans="1:7" ht="28.5" x14ac:dyDescent="0.45">
      <c r="B3" s="86" t="s">
        <v>208</v>
      </c>
      <c r="C3" s="86" t="s">
        <v>209</v>
      </c>
      <c r="D3" s="26" t="s">
        <v>5</v>
      </c>
      <c r="E3" s="26" t="s">
        <v>6</v>
      </c>
      <c r="F3" s="26" t="s">
        <v>80</v>
      </c>
      <c r="G3" s="26" t="s">
        <v>81</v>
      </c>
    </row>
    <row r="4" spans="1:7" ht="84.75" customHeight="1" x14ac:dyDescent="0.45">
      <c r="B4" s="24">
        <v>21.1</v>
      </c>
      <c r="C4" s="40" t="s">
        <v>266</v>
      </c>
      <c r="D4" s="36"/>
      <c r="E4" s="37"/>
      <c r="F4" s="4" t="s">
        <v>267</v>
      </c>
      <c r="G4" s="89" t="s">
        <v>268</v>
      </c>
    </row>
    <row r="5" spans="1:7" ht="59.65" customHeight="1" x14ac:dyDescent="0.45">
      <c r="B5" s="24">
        <v>21.2</v>
      </c>
      <c r="C5" s="40" t="s">
        <v>269</v>
      </c>
      <c r="D5" s="38"/>
      <c r="E5" s="37"/>
      <c r="F5" s="4"/>
      <c r="G5" s="89"/>
    </row>
    <row r="6" spans="1:7" ht="29.65" customHeight="1" x14ac:dyDescent="0.45">
      <c r="B6" s="24">
        <v>21.3</v>
      </c>
      <c r="C6" s="40" t="s">
        <v>270</v>
      </c>
      <c r="D6" s="11"/>
      <c r="E6" s="11"/>
      <c r="F6" s="4" t="s">
        <v>271</v>
      </c>
      <c r="G6" s="89" t="s">
        <v>272</v>
      </c>
    </row>
    <row r="7" spans="1:7" ht="49.9" customHeight="1" x14ac:dyDescent="0.45">
      <c r="B7" s="24">
        <v>21.4</v>
      </c>
      <c r="C7" s="40" t="s">
        <v>273</v>
      </c>
      <c r="D7" s="38"/>
      <c r="E7" s="37"/>
      <c r="F7" s="4"/>
      <c r="G7" s="89"/>
    </row>
    <row r="8" spans="1:7" ht="49.9" customHeight="1" x14ac:dyDescent="0.45">
      <c r="B8" s="5"/>
      <c r="C8" s="5"/>
      <c r="D8" s="10"/>
      <c r="E8" s="9"/>
      <c r="F8" s="3"/>
      <c r="G8" s="3"/>
    </row>
    <row r="9" spans="1:7" ht="49.9" customHeight="1" x14ac:dyDescent="0.45">
      <c r="B9" s="6"/>
      <c r="G9" s="3"/>
    </row>
    <row r="10" spans="1:7" ht="49.9" customHeight="1" x14ac:dyDescent="0.45">
      <c r="G10" s="3"/>
    </row>
    <row r="11" spans="1:7" ht="49.9" customHeight="1" x14ac:dyDescent="0.45">
      <c r="G11" s="3"/>
    </row>
    <row r="12" spans="1:7" ht="49.9" customHeight="1" x14ac:dyDescent="0.45">
      <c r="G12" s="3"/>
    </row>
    <row r="13" spans="1:7" ht="49.9" customHeight="1" x14ac:dyDescent="0.45">
      <c r="B13" s="7"/>
      <c r="G13" s="3"/>
    </row>
    <row r="14" spans="1:7" ht="49.9" customHeight="1" x14ac:dyDescent="0.45">
      <c r="B14" t="s">
        <v>274</v>
      </c>
      <c r="G14" s="3"/>
    </row>
    <row r="15" spans="1:7" ht="49.9" customHeight="1" x14ac:dyDescent="0.45">
      <c r="G15" s="3"/>
    </row>
    <row r="16" spans="1:7" ht="49.9" customHeight="1" x14ac:dyDescent="0.45">
      <c r="B16" s="7" t="s">
        <v>275</v>
      </c>
      <c r="G16" s="3"/>
    </row>
    <row r="17" spans="1:7" ht="49.9" customHeight="1" x14ac:dyDescent="0.45">
      <c r="B17" t="s">
        <v>276</v>
      </c>
      <c r="G17" s="3"/>
    </row>
    <row r="18" spans="1:7" ht="57" customHeight="1" x14ac:dyDescent="0.45">
      <c r="A18" s="5"/>
      <c r="G18" s="3"/>
    </row>
    <row r="19" spans="1:7" x14ac:dyDescent="0.45">
      <c r="B19" s="5"/>
      <c r="C19" s="5"/>
      <c r="D19" s="10"/>
      <c r="F19" s="3"/>
      <c r="G19" s="3"/>
    </row>
    <row r="20" spans="1:7" x14ac:dyDescent="0.45">
      <c r="B20" s="5"/>
      <c r="C20" s="5"/>
      <c r="F20" s="3"/>
      <c r="G20" s="3"/>
    </row>
    <row r="21" spans="1:7" x14ac:dyDescent="0.45">
      <c r="C21" s="6"/>
    </row>
    <row r="24" spans="1:7" x14ac:dyDescent="0.45">
      <c r="A24" s="14"/>
    </row>
    <row r="25" spans="1:7" x14ac:dyDescent="0.45">
      <c r="A25" s="15"/>
    </row>
    <row r="26" spans="1:7" x14ac:dyDescent="0.45">
      <c r="A26" s="14"/>
    </row>
    <row r="27" spans="1:7" x14ac:dyDescent="0.45">
      <c r="A27" s="14"/>
    </row>
    <row r="28" spans="1:7" x14ac:dyDescent="0.45">
      <c r="A28" s="14"/>
    </row>
    <row r="29" spans="1:7" x14ac:dyDescent="0.45">
      <c r="A29" s="16"/>
    </row>
    <row r="30" spans="1:7" x14ac:dyDescent="0.45">
      <c r="A30" s="17"/>
    </row>
    <row r="31" spans="1:7" x14ac:dyDescent="0.45">
      <c r="A31" s="17"/>
    </row>
    <row r="32" spans="1:7" x14ac:dyDescent="0.45">
      <c r="A32" s="18"/>
    </row>
    <row r="33" spans="1:1" x14ac:dyDescent="0.45">
      <c r="A33" s="17"/>
    </row>
    <row r="34" spans="1:1" x14ac:dyDescent="0.45">
      <c r="A34" s="16"/>
    </row>
    <row r="35" spans="1:1" x14ac:dyDescent="0.45">
      <c r="A35" s="17"/>
    </row>
    <row r="36" spans="1:1" x14ac:dyDescent="0.45">
      <c r="A36" s="17"/>
    </row>
    <row r="37" spans="1:1" x14ac:dyDescent="0.45">
      <c r="A37" s="17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415DB-B14A-4AAC-81B3-83ED094D97D1}">
  <sheetPr>
    <tabColor rgb="FF92D050"/>
  </sheetPr>
  <dimension ref="A1:O25"/>
  <sheetViews>
    <sheetView showGridLines="0" topLeftCell="E13" zoomScale="85" zoomScaleNormal="85" workbookViewId="0">
      <selection activeCell="K23" sqref="K23"/>
    </sheetView>
  </sheetViews>
  <sheetFormatPr defaultColWidth="11.33203125" defaultRowHeight="14.25" x14ac:dyDescent="0.45"/>
  <cols>
    <col min="2" max="2" width="24" customWidth="1"/>
    <col min="3" max="3" width="17.796875" customWidth="1"/>
    <col min="4" max="4" width="12.59765625" customWidth="1"/>
    <col min="5" max="5" width="21.59765625" customWidth="1"/>
    <col min="6" max="6" width="20.265625" customWidth="1"/>
    <col min="7" max="7" width="58.73046875" customWidth="1"/>
    <col min="8" max="8" width="61.265625" customWidth="1"/>
    <col min="9" max="9" width="22.796875" customWidth="1"/>
    <col min="11" max="11" width="13.265625" customWidth="1"/>
    <col min="12" max="12" width="21.73046875" customWidth="1"/>
    <col min="13" max="13" width="16" customWidth="1"/>
    <col min="14" max="14" width="11.73046875" customWidth="1"/>
  </cols>
  <sheetData>
    <row r="1" spans="1:15" x14ac:dyDescent="0.45">
      <c r="A1" s="453" t="s">
        <v>277</v>
      </c>
      <c r="B1" s="453"/>
      <c r="C1" s="453"/>
      <c r="D1" s="453"/>
      <c r="E1" s="453"/>
      <c r="F1" s="453"/>
    </row>
    <row r="3" spans="1:15" ht="42.75" x14ac:dyDescent="0.45">
      <c r="B3" s="26" t="s">
        <v>208</v>
      </c>
      <c r="C3" s="86" t="s">
        <v>209</v>
      </c>
      <c r="D3" s="87" t="s">
        <v>4</v>
      </c>
      <c r="E3" s="94" t="s">
        <v>278</v>
      </c>
      <c r="F3" s="444" t="s">
        <v>80</v>
      </c>
      <c r="G3" s="446"/>
      <c r="H3" s="88" t="s">
        <v>81</v>
      </c>
    </row>
    <row r="4" spans="1:15" ht="109.9" customHeight="1" x14ac:dyDescent="0.45">
      <c r="B4" s="24">
        <v>20</v>
      </c>
      <c r="C4" s="40" t="s">
        <v>279</v>
      </c>
      <c r="D4" s="38">
        <f>ROUNDUP(M16,-4)</f>
        <v>80000</v>
      </c>
      <c r="E4" s="38">
        <f>ROUNDUP(M25,-4)</f>
        <v>110000</v>
      </c>
      <c r="F4" s="465" t="s">
        <v>280</v>
      </c>
      <c r="G4" s="466"/>
      <c r="H4" s="85" t="s">
        <v>281</v>
      </c>
    </row>
    <row r="8" spans="1:15" ht="14.65" thickBot="1" x14ac:dyDescent="0.5">
      <c r="B8" s="6"/>
    </row>
    <row r="9" spans="1:15" ht="72.75" customHeight="1" x14ac:dyDescent="0.45">
      <c r="B9" s="59"/>
      <c r="C9" s="60"/>
      <c r="D9" s="60"/>
      <c r="E9" s="60"/>
      <c r="F9" s="60" t="s">
        <v>282</v>
      </c>
      <c r="G9" s="61" t="s">
        <v>283</v>
      </c>
      <c r="H9" s="62" t="s">
        <v>284</v>
      </c>
      <c r="I9" s="63" t="s">
        <v>285</v>
      </c>
      <c r="J9" s="62" t="s">
        <v>286</v>
      </c>
      <c r="K9" s="62" t="s">
        <v>287</v>
      </c>
      <c r="L9" s="62" t="s">
        <v>288</v>
      </c>
      <c r="M9" s="62" t="s">
        <v>289</v>
      </c>
      <c r="N9" s="62" t="s">
        <v>290</v>
      </c>
      <c r="O9" s="64" t="s">
        <v>291</v>
      </c>
    </row>
    <row r="10" spans="1:15" ht="85.5" x14ac:dyDescent="0.45">
      <c r="B10" s="459" t="s">
        <v>292</v>
      </c>
      <c r="C10" s="460"/>
      <c r="D10" s="460"/>
      <c r="E10" s="461"/>
      <c r="F10" s="65">
        <v>5</v>
      </c>
      <c r="G10" s="74" t="s">
        <v>293</v>
      </c>
      <c r="H10" s="66">
        <f>103293.3+65000</f>
        <v>168293.3</v>
      </c>
      <c r="I10" s="77">
        <v>30000</v>
      </c>
      <c r="J10" s="66">
        <v>0</v>
      </c>
      <c r="K10" s="66">
        <f>SUM(H10:J10)</f>
        <v>198293.3</v>
      </c>
      <c r="L10" s="66">
        <v>54317.320000000007</v>
      </c>
      <c r="M10" s="66">
        <f>+H10/F10+I10/F10</f>
        <v>39658.659999999996</v>
      </c>
      <c r="N10" s="66">
        <f>SUM(L10:M10)</f>
        <v>93975.98000000001</v>
      </c>
      <c r="O10" s="66">
        <f>K10-N10</f>
        <v>104317.31999999998</v>
      </c>
    </row>
    <row r="11" spans="1:15" x14ac:dyDescent="0.45">
      <c r="B11" s="459" t="s">
        <v>294</v>
      </c>
      <c r="C11" s="460"/>
      <c r="D11" s="460"/>
      <c r="E11" s="461"/>
      <c r="F11" s="65">
        <v>5</v>
      </c>
      <c r="G11" s="74"/>
      <c r="H11" s="66">
        <f>42817.28+10000</f>
        <v>52817.279999999999</v>
      </c>
      <c r="I11" s="77"/>
      <c r="J11" s="66">
        <v>0</v>
      </c>
      <c r="K11" s="66">
        <f>SUM(H11:J11)</f>
        <v>52817.279999999999</v>
      </c>
      <c r="L11" s="66">
        <v>27287.455999999998</v>
      </c>
      <c r="M11" s="66">
        <f>+H11/F11+I11/F11</f>
        <v>10563.456</v>
      </c>
      <c r="N11" s="66">
        <f>SUM(L11:M11)</f>
        <v>37850.911999999997</v>
      </c>
      <c r="O11" s="66">
        <f>K11-N11</f>
        <v>14966.368000000002</v>
      </c>
    </row>
    <row r="12" spans="1:15" ht="71.25" x14ac:dyDescent="0.45">
      <c r="B12" s="462" t="s">
        <v>295</v>
      </c>
      <c r="C12" s="463"/>
      <c r="D12" s="463"/>
      <c r="E12" s="464"/>
      <c r="F12" s="69">
        <v>0.3</v>
      </c>
      <c r="G12" s="74" t="s">
        <v>296</v>
      </c>
      <c r="H12" s="66">
        <v>1047674.51</v>
      </c>
      <c r="I12" s="78">
        <v>50000</v>
      </c>
      <c r="J12" s="11">
        <v>0</v>
      </c>
      <c r="K12" s="66">
        <f>SUM(H12:J12)</f>
        <v>1097674.51</v>
      </c>
      <c r="L12" s="70">
        <v>1000053.33</v>
      </c>
      <c r="M12" s="66">
        <f>(H12-L12)*0.3</f>
        <v>14286.354000000016</v>
      </c>
      <c r="N12" s="70">
        <f>SUM(L12:M12)</f>
        <v>1014339.684</v>
      </c>
      <c r="O12" s="66">
        <f>K12-N12</f>
        <v>83334.826000000001</v>
      </c>
    </row>
    <row r="13" spans="1:15" ht="28.9" customHeight="1" x14ac:dyDescent="0.45">
      <c r="B13" s="462" t="s">
        <v>269</v>
      </c>
      <c r="C13" s="463"/>
      <c r="D13" s="463"/>
      <c r="E13" s="464"/>
      <c r="F13" s="68" t="s">
        <v>297</v>
      </c>
      <c r="G13" s="11"/>
      <c r="H13" s="11"/>
      <c r="I13" s="11"/>
      <c r="J13" s="11"/>
      <c r="K13" s="66">
        <f>SUM(H13:J13)</f>
        <v>0</v>
      </c>
      <c r="L13" s="11"/>
      <c r="M13" s="11"/>
      <c r="N13" s="70"/>
      <c r="O13" s="66">
        <f>K13-N13</f>
        <v>0</v>
      </c>
    </row>
    <row r="14" spans="1:15" ht="85.5" x14ac:dyDescent="0.45">
      <c r="B14" s="462" t="s">
        <v>270</v>
      </c>
      <c r="C14" s="463"/>
      <c r="D14" s="463"/>
      <c r="E14" s="464"/>
      <c r="F14" s="68">
        <v>3</v>
      </c>
      <c r="G14" s="4" t="s">
        <v>298</v>
      </c>
      <c r="H14" s="76">
        <v>0</v>
      </c>
      <c r="I14" s="76">
        <v>30000</v>
      </c>
      <c r="J14" s="11">
        <v>0</v>
      </c>
      <c r="K14" s="66">
        <f>SUM(H14:J14)</f>
        <v>30000</v>
      </c>
      <c r="L14" s="11">
        <v>0</v>
      </c>
      <c r="M14" s="71">
        <f>+H14/F14+I14/F14</f>
        <v>10000</v>
      </c>
      <c r="N14" s="70">
        <f>SUM(L14:M14)</f>
        <v>10000</v>
      </c>
      <c r="O14" s="66">
        <f>K14-N14</f>
        <v>20000</v>
      </c>
    </row>
    <row r="16" spans="1:15" ht="14.65" thickBot="1" x14ac:dyDescent="0.5">
      <c r="L16" s="57"/>
      <c r="M16" s="58">
        <f t="shared" ref="M16" si="0">SUM(M10:M14)</f>
        <v>74508.47</v>
      </c>
    </row>
    <row r="17" spans="2:15" ht="14.65" thickBot="1" x14ac:dyDescent="0.5">
      <c r="B17" s="467" t="s">
        <v>299</v>
      </c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9"/>
    </row>
    <row r="18" spans="2:15" ht="85.5" x14ac:dyDescent="0.45">
      <c r="B18" s="59"/>
      <c r="C18" s="60"/>
      <c r="D18" s="60"/>
      <c r="E18" s="60"/>
      <c r="F18" s="60" t="s">
        <v>282</v>
      </c>
      <c r="G18" s="61" t="s">
        <v>283</v>
      </c>
      <c r="H18" s="62" t="s">
        <v>284</v>
      </c>
      <c r="I18" s="63" t="s">
        <v>285</v>
      </c>
      <c r="J18" s="62" t="s">
        <v>286</v>
      </c>
      <c r="K18" s="62" t="s">
        <v>287</v>
      </c>
      <c r="L18" s="62" t="s">
        <v>288</v>
      </c>
      <c r="M18" s="62" t="s">
        <v>289</v>
      </c>
      <c r="N18" s="62" t="s">
        <v>290</v>
      </c>
      <c r="O18" s="64" t="s">
        <v>291</v>
      </c>
    </row>
    <row r="19" spans="2:15" ht="99.75" x14ac:dyDescent="0.45">
      <c r="B19" s="459" t="s">
        <v>292</v>
      </c>
      <c r="C19" s="460"/>
      <c r="D19" s="460"/>
      <c r="E19" s="461"/>
      <c r="F19" s="65">
        <v>5</v>
      </c>
      <c r="G19" s="74" t="s">
        <v>300</v>
      </c>
      <c r="H19" s="66">
        <f>103293.3+65000</f>
        <v>168293.3</v>
      </c>
      <c r="I19" s="77">
        <f>30000+100000</f>
        <v>130000</v>
      </c>
      <c r="J19" s="66">
        <v>0</v>
      </c>
      <c r="K19" s="66">
        <f>SUM(H19:J19)</f>
        <v>298293.3</v>
      </c>
      <c r="L19" s="66">
        <v>54317.320000000007</v>
      </c>
      <c r="M19" s="66">
        <f>+H19/F19+I19/F19</f>
        <v>59658.659999999996</v>
      </c>
      <c r="N19" s="66">
        <f>SUM(L19:M19)</f>
        <v>113975.98000000001</v>
      </c>
      <c r="O19" s="66">
        <f>K19-N19</f>
        <v>184317.31999999998</v>
      </c>
    </row>
    <row r="20" spans="2:15" x14ac:dyDescent="0.45">
      <c r="B20" s="459" t="s">
        <v>294</v>
      </c>
      <c r="C20" s="460"/>
      <c r="D20" s="460"/>
      <c r="E20" s="461"/>
      <c r="F20" s="65">
        <v>5</v>
      </c>
      <c r="G20" s="74"/>
      <c r="H20" s="66">
        <f>42817.28+10000</f>
        <v>52817.279999999999</v>
      </c>
      <c r="I20" s="77"/>
      <c r="J20" s="66">
        <v>0</v>
      </c>
      <c r="K20" s="66">
        <f>SUM(H20:J20)</f>
        <v>52817.279999999999</v>
      </c>
      <c r="L20" s="66">
        <v>27287.455999999998</v>
      </c>
      <c r="M20" s="66">
        <f>+H20/F20+I20/F20</f>
        <v>10563.456</v>
      </c>
      <c r="N20" s="66">
        <f>SUM(L20:M20)</f>
        <v>37850.911999999997</v>
      </c>
      <c r="O20" s="66">
        <f>K20-N20</f>
        <v>14966.368000000002</v>
      </c>
    </row>
    <row r="21" spans="2:15" ht="71.25" x14ac:dyDescent="0.45">
      <c r="B21" s="462" t="s">
        <v>295</v>
      </c>
      <c r="C21" s="463"/>
      <c r="D21" s="463"/>
      <c r="E21" s="464"/>
      <c r="F21" s="69">
        <v>0.3</v>
      </c>
      <c r="G21" s="74" t="s">
        <v>301</v>
      </c>
      <c r="H21" s="126">
        <v>1047674.51</v>
      </c>
      <c r="I21" s="78">
        <f>50000+20000</f>
        <v>70000</v>
      </c>
      <c r="J21" s="11">
        <v>0</v>
      </c>
      <c r="K21" s="66">
        <f>SUM(H21:J21)</f>
        <v>1117674.51</v>
      </c>
      <c r="L21" s="70">
        <v>1000053.33</v>
      </c>
      <c r="M21" s="66">
        <f>(H21-L21)*0.3</f>
        <v>14286.354000000016</v>
      </c>
      <c r="N21" s="70">
        <f>SUM(L21:M21)</f>
        <v>1014339.684</v>
      </c>
      <c r="O21" s="66">
        <f>K21-N21</f>
        <v>103334.826</v>
      </c>
    </row>
    <row r="22" spans="2:15" ht="28.9" customHeight="1" x14ac:dyDescent="0.45">
      <c r="B22" s="462" t="s">
        <v>269</v>
      </c>
      <c r="C22" s="463"/>
      <c r="D22" s="463"/>
      <c r="E22" s="464"/>
      <c r="F22" s="68" t="s">
        <v>297</v>
      </c>
      <c r="G22" s="11"/>
      <c r="H22" s="11"/>
      <c r="I22" s="11"/>
      <c r="J22" s="11"/>
      <c r="K22" s="66">
        <f>SUM(H22:J22)</f>
        <v>0</v>
      </c>
      <c r="L22" s="11"/>
      <c r="M22" s="11"/>
      <c r="N22" s="70"/>
      <c r="O22" s="66">
        <f>K22-N22</f>
        <v>0</v>
      </c>
    </row>
    <row r="23" spans="2:15" ht="85.5" x14ac:dyDescent="0.45">
      <c r="B23" s="462" t="s">
        <v>270</v>
      </c>
      <c r="C23" s="463"/>
      <c r="D23" s="463"/>
      <c r="E23" s="464"/>
      <c r="F23" s="68">
        <v>3</v>
      </c>
      <c r="G23" s="4" t="s">
        <v>298</v>
      </c>
      <c r="H23" s="76">
        <v>0</v>
      </c>
      <c r="I23" s="76">
        <f>30000+(3700*10)</f>
        <v>67000</v>
      </c>
      <c r="J23" s="11">
        <v>0</v>
      </c>
      <c r="K23" s="66">
        <f>SUM(H23:J23)</f>
        <v>67000</v>
      </c>
      <c r="L23" s="11">
        <v>0</v>
      </c>
      <c r="M23" s="71">
        <f>+H23/F23+I23/F23</f>
        <v>22333.333333333332</v>
      </c>
      <c r="N23" s="70">
        <f>SUM(L23:M23)</f>
        <v>22333.333333333332</v>
      </c>
      <c r="O23" s="66">
        <f>K23-N23</f>
        <v>44666.666666666672</v>
      </c>
    </row>
    <row r="25" spans="2:15" x14ac:dyDescent="0.45">
      <c r="L25" s="57"/>
      <c r="M25" s="58">
        <f t="shared" ref="M25" si="1">SUM(M19:M23)</f>
        <v>106841.80333333334</v>
      </c>
    </row>
  </sheetData>
  <mergeCells count="14">
    <mergeCell ref="A1:F1"/>
    <mergeCell ref="F3:G3"/>
    <mergeCell ref="F4:G4"/>
    <mergeCell ref="B17:O17"/>
    <mergeCell ref="B10:E10"/>
    <mergeCell ref="B11:E11"/>
    <mergeCell ref="B12:E12"/>
    <mergeCell ref="B13:E13"/>
    <mergeCell ref="B14:E14"/>
    <mergeCell ref="B19:E19"/>
    <mergeCell ref="B20:E20"/>
    <mergeCell ref="B21:E21"/>
    <mergeCell ref="B22:E22"/>
    <mergeCell ref="B23:E2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C6CDB-B2C5-4708-A496-E74E3D890952}">
  <dimension ref="A1:Q15"/>
  <sheetViews>
    <sheetView showGridLines="0" topLeftCell="G9" zoomScaleNormal="100" workbookViewId="0">
      <selection activeCell="J10" sqref="J10"/>
    </sheetView>
  </sheetViews>
  <sheetFormatPr defaultColWidth="11.33203125" defaultRowHeight="14.25" x14ac:dyDescent="0.45"/>
  <cols>
    <col min="2" max="2" width="24" customWidth="1"/>
    <col min="3" max="3" width="34" customWidth="1"/>
    <col min="4" max="5" width="22" customWidth="1"/>
    <col min="6" max="6" width="27.796875" customWidth="1"/>
    <col min="7" max="7" width="58.73046875" customWidth="1"/>
    <col min="8" max="8" width="63" customWidth="1"/>
    <col min="9" max="9" width="7.06640625" customWidth="1"/>
    <col min="10" max="10" width="22.796875" customWidth="1"/>
    <col min="12" max="12" width="17.73046875" bestFit="1" customWidth="1"/>
    <col min="13" max="13" width="20.796875" customWidth="1"/>
    <col min="14" max="14" width="16" customWidth="1"/>
    <col min="15" max="15" width="23.33203125" customWidth="1"/>
    <col min="16" max="16" width="5" customWidth="1"/>
    <col min="17" max="17" width="18.796875" customWidth="1"/>
  </cols>
  <sheetData>
    <row r="1" spans="1:17" x14ac:dyDescent="0.45">
      <c r="A1" s="453" t="s">
        <v>302</v>
      </c>
      <c r="B1" s="453"/>
      <c r="C1" s="453"/>
      <c r="D1" s="453"/>
      <c r="E1" s="453"/>
      <c r="F1" s="453"/>
    </row>
    <row r="3" spans="1:17" ht="28.5" x14ac:dyDescent="0.45">
      <c r="B3" s="26" t="s">
        <v>208</v>
      </c>
      <c r="C3" s="86" t="s">
        <v>209</v>
      </c>
      <c r="D3" s="87" t="s">
        <v>5</v>
      </c>
      <c r="E3" s="444" t="s">
        <v>303</v>
      </c>
      <c r="F3" s="446"/>
      <c r="G3" s="26" t="s">
        <v>81</v>
      </c>
    </row>
    <row r="4" spans="1:17" ht="109.9" customHeight="1" x14ac:dyDescent="0.45">
      <c r="B4" s="24">
        <v>20</v>
      </c>
      <c r="C4" s="40" t="s">
        <v>279</v>
      </c>
      <c r="D4" s="38">
        <f>ROUNDUP(N15,-4)</f>
        <v>250000</v>
      </c>
      <c r="E4" s="473" t="s">
        <v>280</v>
      </c>
      <c r="F4" s="466"/>
      <c r="G4" s="85" t="s">
        <v>281</v>
      </c>
    </row>
    <row r="8" spans="1:17" ht="14.65" thickBot="1" x14ac:dyDescent="0.5">
      <c r="B8" s="6"/>
    </row>
    <row r="9" spans="1:17" ht="97.15" customHeight="1" x14ac:dyDescent="0.45">
      <c r="B9" s="59"/>
      <c r="C9" s="60"/>
      <c r="D9" s="60"/>
      <c r="E9" s="60"/>
      <c r="F9" s="60" t="s">
        <v>282</v>
      </c>
      <c r="G9" s="61" t="s">
        <v>283</v>
      </c>
      <c r="H9" s="62" t="s">
        <v>284</v>
      </c>
      <c r="I9" s="62"/>
      <c r="J9" s="63" t="s">
        <v>304</v>
      </c>
      <c r="K9" s="62" t="s">
        <v>286</v>
      </c>
      <c r="L9" s="62" t="s">
        <v>287</v>
      </c>
      <c r="M9" s="62" t="s">
        <v>288</v>
      </c>
      <c r="N9" s="62" t="s">
        <v>289</v>
      </c>
      <c r="O9" s="62" t="s">
        <v>290</v>
      </c>
      <c r="P9" s="62"/>
      <c r="Q9" s="64" t="s">
        <v>291</v>
      </c>
    </row>
    <row r="10" spans="1:17" ht="33" customHeight="1" x14ac:dyDescent="0.45">
      <c r="B10" s="470" t="s">
        <v>292</v>
      </c>
      <c r="C10" s="471"/>
      <c r="D10" s="471"/>
      <c r="E10" s="472"/>
      <c r="F10" s="65">
        <v>5</v>
      </c>
      <c r="G10" s="93"/>
      <c r="H10" s="66">
        <v>298293.3</v>
      </c>
      <c r="I10" s="67"/>
      <c r="J10" s="77">
        <v>50000</v>
      </c>
      <c r="K10" s="66">
        <v>0</v>
      </c>
      <c r="L10" s="66">
        <f>SUM(H10:K10)</f>
        <v>348293.3</v>
      </c>
      <c r="M10" s="66">
        <f>'AMORTIZATION FY21-22'!N10</f>
        <v>93975.98000000001</v>
      </c>
      <c r="N10" s="70">
        <f>+H10/F10+J10/F10</f>
        <v>69658.66</v>
      </c>
      <c r="O10" s="66">
        <f>SUM(M10:N10)</f>
        <v>163634.64000000001</v>
      </c>
      <c r="P10" s="66"/>
      <c r="Q10" s="66">
        <f>L10-O10</f>
        <v>184658.65999999997</v>
      </c>
    </row>
    <row r="11" spans="1:17" x14ac:dyDescent="0.45">
      <c r="B11" s="470" t="s">
        <v>294</v>
      </c>
      <c r="C11" s="471"/>
      <c r="D11" s="471"/>
      <c r="E11" s="472"/>
      <c r="F11" s="65">
        <v>5</v>
      </c>
      <c r="G11" s="75"/>
      <c r="H11" s="66">
        <v>52817.279999999999</v>
      </c>
      <c r="I11" s="67"/>
      <c r="J11" s="77">
        <v>0</v>
      </c>
      <c r="K11" s="66">
        <v>0</v>
      </c>
      <c r="L11" s="66">
        <f>SUM(H11:K11)</f>
        <v>52817.279999999999</v>
      </c>
      <c r="M11" s="70">
        <f>'AMORTIZATION FY21-22'!N11</f>
        <v>37850.911999999997</v>
      </c>
      <c r="N11" s="70">
        <f>+H11/F11+J11/F11</f>
        <v>10563.456</v>
      </c>
      <c r="O11" s="66">
        <f>SUM(M11:N11)</f>
        <v>48414.367999999995</v>
      </c>
      <c r="P11" s="66"/>
      <c r="Q11" s="66">
        <f>L11-O11</f>
        <v>4402.9120000000039</v>
      </c>
    </row>
    <row r="12" spans="1:17" ht="71.25" x14ac:dyDescent="0.45">
      <c r="B12" s="470" t="s">
        <v>295</v>
      </c>
      <c r="C12" s="471"/>
      <c r="D12" s="471"/>
      <c r="E12" s="472"/>
      <c r="F12" s="69">
        <v>0.3</v>
      </c>
      <c r="G12" s="74" t="s">
        <v>305</v>
      </c>
      <c r="H12" s="66">
        <v>1117674.51</v>
      </c>
      <c r="I12" s="11"/>
      <c r="J12" s="37">
        <v>200000</v>
      </c>
      <c r="K12" s="11"/>
      <c r="L12" s="70">
        <f t="shared" ref="L12:L14" si="0">SUM(H12:K12)</f>
        <v>1317674.51</v>
      </c>
      <c r="M12" s="70">
        <f>'AMORTIZATION FY21-22'!N12</f>
        <v>1014339.684</v>
      </c>
      <c r="N12" s="71">
        <f>((H12-M12)*0.3)+(J12*0.3*0.5)</f>
        <v>61000.447799999994</v>
      </c>
      <c r="O12" s="70">
        <f>SUM(M12:N12)</f>
        <v>1075340.1318000001</v>
      </c>
      <c r="P12" s="11"/>
      <c r="Q12" s="66">
        <f>L12-O12</f>
        <v>242334.37819999992</v>
      </c>
    </row>
    <row r="13" spans="1:17" ht="28.5" x14ac:dyDescent="0.45">
      <c r="B13" s="470" t="s">
        <v>269</v>
      </c>
      <c r="C13" s="471"/>
      <c r="D13" s="471"/>
      <c r="E13" s="472"/>
      <c r="F13" s="11" t="s">
        <v>306</v>
      </c>
      <c r="G13" s="4" t="s">
        <v>307</v>
      </c>
      <c r="H13" s="11"/>
      <c r="I13" s="11"/>
      <c r="J13" s="127">
        <f>ROUNDUP(((70*1.13)*18248),-5)</f>
        <v>1500000</v>
      </c>
      <c r="K13" s="11"/>
      <c r="L13" s="70">
        <f t="shared" si="0"/>
        <v>1500000</v>
      </c>
      <c r="M13" s="11"/>
      <c r="N13" s="71">
        <f>(L13/15)*0.5</f>
        <v>50000</v>
      </c>
      <c r="O13" s="70">
        <f>SUM(M13:N13)</f>
        <v>50000</v>
      </c>
      <c r="P13" s="11"/>
      <c r="Q13" s="66">
        <f>L13-O13</f>
        <v>1450000</v>
      </c>
    </row>
    <row r="14" spans="1:17" x14ac:dyDescent="0.45">
      <c r="B14" s="470" t="s">
        <v>270</v>
      </c>
      <c r="C14" s="471"/>
      <c r="D14" s="471"/>
      <c r="E14" s="472"/>
      <c r="F14" s="69">
        <v>0.55000000000000004</v>
      </c>
      <c r="G14" s="11" t="s">
        <v>308</v>
      </c>
      <c r="H14" s="76">
        <v>67000</v>
      </c>
      <c r="I14" s="11"/>
      <c r="J14" s="127">
        <f>(3000*10)+(48*1000)</f>
        <v>78000</v>
      </c>
      <c r="K14" s="11"/>
      <c r="L14" s="70">
        <f t="shared" si="0"/>
        <v>145000</v>
      </c>
      <c r="M14" s="76">
        <f>'AMORTIZATION FY21-22'!N14</f>
        <v>10000</v>
      </c>
      <c r="N14" s="71">
        <f>((H14-M14)*0.55)+(78000*0.55*0.5)</f>
        <v>52800</v>
      </c>
      <c r="O14" s="70">
        <f>SUM(M14:N14)</f>
        <v>62800</v>
      </c>
      <c r="P14" s="11"/>
      <c r="Q14" s="66">
        <f>L14-O14</f>
        <v>82200</v>
      </c>
    </row>
    <row r="15" spans="1:17" x14ac:dyDescent="0.45">
      <c r="M15" s="5" t="s">
        <v>309</v>
      </c>
      <c r="N15" s="58">
        <f>SUM(N10:N14)</f>
        <v>244022.5638</v>
      </c>
    </row>
  </sheetData>
  <mergeCells count="8">
    <mergeCell ref="B12:E12"/>
    <mergeCell ref="B13:E13"/>
    <mergeCell ref="B14:E14"/>
    <mergeCell ref="A1:F1"/>
    <mergeCell ref="E3:F3"/>
    <mergeCell ref="E4:F4"/>
    <mergeCell ref="B10:E10"/>
    <mergeCell ref="B11:E11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B64B9-F487-4EB1-A48F-F9574BFD7542}">
  <dimension ref="A1:Q15"/>
  <sheetViews>
    <sheetView showGridLines="0" topLeftCell="H3" zoomScaleNormal="100" workbookViewId="0">
      <selection activeCell="F13" sqref="F13"/>
    </sheetView>
  </sheetViews>
  <sheetFormatPr defaultColWidth="11.33203125" defaultRowHeight="14.25" x14ac:dyDescent="0.45"/>
  <cols>
    <col min="2" max="2" width="24" customWidth="1"/>
    <col min="3" max="3" width="34" customWidth="1"/>
    <col min="4" max="5" width="22" customWidth="1"/>
    <col min="6" max="6" width="27.796875" customWidth="1"/>
    <col min="7" max="7" width="58.73046875" customWidth="1"/>
    <col min="8" max="8" width="63" customWidth="1"/>
    <col min="9" max="9" width="7.06640625" customWidth="1"/>
    <col min="10" max="10" width="22.796875" customWidth="1"/>
    <col min="12" max="12" width="17.73046875" bestFit="1" customWidth="1"/>
    <col min="13" max="13" width="20.796875" customWidth="1"/>
    <col min="14" max="14" width="16" customWidth="1"/>
    <col min="15" max="15" width="23.33203125" customWidth="1"/>
    <col min="16" max="16" width="5" customWidth="1"/>
    <col min="17" max="17" width="18.796875" customWidth="1"/>
  </cols>
  <sheetData>
    <row r="1" spans="1:17" x14ac:dyDescent="0.45">
      <c r="A1" s="453" t="s">
        <v>302</v>
      </c>
      <c r="B1" s="453"/>
      <c r="C1" s="453"/>
      <c r="D1" s="453"/>
      <c r="E1" s="453"/>
      <c r="F1" s="453"/>
    </row>
    <row r="3" spans="1:17" ht="28.5" x14ac:dyDescent="0.45">
      <c r="B3" s="26" t="s">
        <v>208</v>
      </c>
      <c r="C3" s="86" t="s">
        <v>209</v>
      </c>
      <c r="D3" s="87" t="s">
        <v>5</v>
      </c>
      <c r="E3" s="444" t="s">
        <v>303</v>
      </c>
      <c r="F3" s="446"/>
      <c r="G3" s="26" t="s">
        <v>81</v>
      </c>
    </row>
    <row r="4" spans="1:17" ht="109.9" customHeight="1" x14ac:dyDescent="0.45">
      <c r="B4" s="24">
        <v>20</v>
      </c>
      <c r="C4" s="40" t="s">
        <v>279</v>
      </c>
      <c r="D4" s="38">
        <f>ROUNDUP(N15,-4)</f>
        <v>300000</v>
      </c>
      <c r="E4" s="473" t="s">
        <v>280</v>
      </c>
      <c r="F4" s="466"/>
      <c r="G4" s="85" t="s">
        <v>281</v>
      </c>
    </row>
    <row r="8" spans="1:17" ht="14.65" thickBot="1" x14ac:dyDescent="0.5">
      <c r="B8" s="6"/>
    </row>
    <row r="9" spans="1:17" ht="97.15" customHeight="1" x14ac:dyDescent="0.45">
      <c r="B9" s="59"/>
      <c r="C9" s="60"/>
      <c r="D9" s="60"/>
      <c r="E9" s="60"/>
      <c r="F9" s="60" t="s">
        <v>282</v>
      </c>
      <c r="G9" s="61" t="s">
        <v>283</v>
      </c>
      <c r="H9" s="62" t="s">
        <v>284</v>
      </c>
      <c r="I9" s="62"/>
      <c r="J9" s="63" t="s">
        <v>310</v>
      </c>
      <c r="K9" s="62" t="s">
        <v>286</v>
      </c>
      <c r="L9" s="62" t="s">
        <v>287</v>
      </c>
      <c r="M9" s="62" t="s">
        <v>288</v>
      </c>
      <c r="N9" s="62" t="s">
        <v>289</v>
      </c>
      <c r="O9" s="62" t="s">
        <v>290</v>
      </c>
      <c r="P9" s="62"/>
      <c r="Q9" s="64" t="s">
        <v>291</v>
      </c>
    </row>
    <row r="10" spans="1:17" ht="33" customHeight="1" x14ac:dyDescent="0.45">
      <c r="B10" s="470" t="s">
        <v>292</v>
      </c>
      <c r="C10" s="471"/>
      <c r="D10" s="471"/>
      <c r="E10" s="472"/>
      <c r="F10" s="65">
        <v>5</v>
      </c>
      <c r="G10" s="93"/>
      <c r="H10" s="66">
        <f>'AMORTIZATION FY23'!L10</f>
        <v>348293.3</v>
      </c>
      <c r="I10" s="67"/>
      <c r="J10" s="77"/>
      <c r="K10" s="66">
        <v>0</v>
      </c>
      <c r="L10" s="66">
        <f>SUM(H10:K10)</f>
        <v>348293.3</v>
      </c>
      <c r="M10" s="66">
        <f>'AMORTIZATION FY23'!O10</f>
        <v>163634.64000000001</v>
      </c>
      <c r="N10" s="70">
        <f>+H10/F10+J10/F10</f>
        <v>69658.66</v>
      </c>
      <c r="O10" s="66">
        <f>SUM(M10:N10)</f>
        <v>233293.30000000002</v>
      </c>
      <c r="P10" s="66"/>
      <c r="Q10" s="66">
        <f>L10-O10</f>
        <v>114999.99999999997</v>
      </c>
    </row>
    <row r="11" spans="1:17" x14ac:dyDescent="0.45">
      <c r="B11" s="470" t="s">
        <v>294</v>
      </c>
      <c r="C11" s="471"/>
      <c r="D11" s="471"/>
      <c r="E11" s="472"/>
      <c r="F11" s="65">
        <v>5</v>
      </c>
      <c r="G11" s="75"/>
      <c r="H11" s="66">
        <f>'AMORTIZATION FY23'!L11</f>
        <v>52817.279999999999</v>
      </c>
      <c r="I11" s="67"/>
      <c r="J11" s="77">
        <v>0</v>
      </c>
      <c r="K11" s="66">
        <v>0</v>
      </c>
      <c r="L11" s="66">
        <f>SUM(H11:K11)</f>
        <v>52817.279999999999</v>
      </c>
      <c r="M11" s="70">
        <f>'AMORTIZATION FY23'!O11</f>
        <v>48414.367999999995</v>
      </c>
      <c r="N11" s="70">
        <f>+H11/F11+J11/F11</f>
        <v>10563.456</v>
      </c>
      <c r="O11" s="66">
        <f>SUM(M11:N11)</f>
        <v>58977.823999999993</v>
      </c>
      <c r="P11" s="66"/>
      <c r="Q11" s="66">
        <f>L11-O11</f>
        <v>-6160.5439999999944</v>
      </c>
    </row>
    <row r="12" spans="1:17" ht="71.25" x14ac:dyDescent="0.45">
      <c r="B12" s="470" t="s">
        <v>295</v>
      </c>
      <c r="C12" s="471"/>
      <c r="D12" s="471"/>
      <c r="E12" s="472"/>
      <c r="F12" s="69">
        <v>0.3</v>
      </c>
      <c r="G12" s="74" t="s">
        <v>305</v>
      </c>
      <c r="H12" s="66">
        <f>'AMORTIZATION FY23'!L12</f>
        <v>1317674.51</v>
      </c>
      <c r="I12" s="11"/>
      <c r="J12" s="37"/>
      <c r="K12" s="11"/>
      <c r="L12" s="70">
        <f t="shared" ref="L12:L14" si="0">SUM(H12:K12)</f>
        <v>1317674.51</v>
      </c>
      <c r="M12" s="70">
        <f>'AMORTIZATION FY23'!O12</f>
        <v>1075340.1318000001</v>
      </c>
      <c r="N12" s="71">
        <f>(H12-M12)*0.3</f>
        <v>72700.313459999976</v>
      </c>
      <c r="O12" s="70">
        <f>SUM(M12:N12)</f>
        <v>1148040.4452599999</v>
      </c>
      <c r="P12" s="11"/>
      <c r="Q12" s="66">
        <f>L12-O12</f>
        <v>169634.06474000006</v>
      </c>
    </row>
    <row r="13" spans="1:17" ht="28.5" x14ac:dyDescent="0.45">
      <c r="B13" s="470" t="s">
        <v>269</v>
      </c>
      <c r="C13" s="471"/>
      <c r="D13" s="471"/>
      <c r="E13" s="472"/>
      <c r="F13" s="11" t="s">
        <v>306</v>
      </c>
      <c r="G13" s="4" t="s">
        <v>307</v>
      </c>
      <c r="H13" s="128">
        <f>'AMORTIZATION FY23'!L13</f>
        <v>1500000</v>
      </c>
      <c r="I13" s="11"/>
      <c r="J13" s="127"/>
      <c r="K13" s="11"/>
      <c r="L13" s="70">
        <f t="shared" si="0"/>
        <v>1500000</v>
      </c>
      <c r="M13" s="11">
        <f>'AMORTIZATION FY23'!O13</f>
        <v>50000</v>
      </c>
      <c r="N13" s="71">
        <f>(L13/15)</f>
        <v>100000</v>
      </c>
      <c r="O13" s="70">
        <f>SUM(M13:N13)</f>
        <v>150000</v>
      </c>
      <c r="P13" s="11"/>
      <c r="Q13" s="66">
        <f>L13-O13</f>
        <v>1350000</v>
      </c>
    </row>
    <row r="14" spans="1:17" x14ac:dyDescent="0.45">
      <c r="B14" s="470" t="s">
        <v>270</v>
      </c>
      <c r="C14" s="471"/>
      <c r="D14" s="471"/>
      <c r="E14" s="472"/>
      <c r="F14" s="69">
        <v>0.55000000000000004</v>
      </c>
      <c r="G14" s="11"/>
      <c r="H14" s="76">
        <f>'AMORTIZATION FY23'!L14</f>
        <v>145000</v>
      </c>
      <c r="I14" s="11"/>
      <c r="J14" s="127"/>
      <c r="K14" s="11"/>
      <c r="L14" s="70">
        <f t="shared" si="0"/>
        <v>145000</v>
      </c>
      <c r="M14" s="76">
        <f>'AMORTIZATION FY23'!O14</f>
        <v>62800</v>
      </c>
      <c r="N14" s="71">
        <f>((H14-M14)*0.55)</f>
        <v>45210.000000000007</v>
      </c>
      <c r="O14" s="70">
        <f>SUM(M14:N14)</f>
        <v>108010</v>
      </c>
      <c r="P14" s="11"/>
      <c r="Q14" s="66">
        <f>L14-O14</f>
        <v>36990</v>
      </c>
    </row>
    <row r="15" spans="1:17" x14ac:dyDescent="0.45">
      <c r="M15" s="5" t="s">
        <v>309</v>
      </c>
      <c r="N15" s="58">
        <f>SUM(N10:N14)</f>
        <v>298132.42946000001</v>
      </c>
    </row>
  </sheetData>
  <mergeCells count="8">
    <mergeCell ref="B13:E13"/>
    <mergeCell ref="B14:E14"/>
    <mergeCell ref="A1:F1"/>
    <mergeCell ref="E3:F3"/>
    <mergeCell ref="E4:F4"/>
    <mergeCell ref="B10:E10"/>
    <mergeCell ref="B11:E11"/>
    <mergeCell ref="B12:E12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592E0-EE42-499B-94EB-1C40B57B7CF3}">
  <dimension ref="B1:G38"/>
  <sheetViews>
    <sheetView workbookViewId="0">
      <selection activeCell="F5" sqref="F5"/>
    </sheetView>
  </sheetViews>
  <sheetFormatPr defaultRowHeight="14.25" x14ac:dyDescent="0.45"/>
  <cols>
    <col min="3" max="3" width="49.33203125" bestFit="1" customWidth="1"/>
    <col min="4" max="4" width="55.59765625" bestFit="1" customWidth="1"/>
    <col min="5" max="5" width="9.33203125" bestFit="1" customWidth="1"/>
    <col min="6" max="6" width="35.73046875" bestFit="1" customWidth="1"/>
    <col min="7" max="7" width="9.796875" bestFit="1" customWidth="1"/>
  </cols>
  <sheetData>
    <row r="1" spans="2:7" x14ac:dyDescent="0.45">
      <c r="G1" s="5" t="s">
        <v>311</v>
      </c>
    </row>
    <row r="2" spans="2:7" x14ac:dyDescent="0.45">
      <c r="G2" s="100">
        <f>12*12*48</f>
        <v>6912</v>
      </c>
    </row>
    <row r="3" spans="2:7" x14ac:dyDescent="0.45">
      <c r="B3" s="101"/>
      <c r="C3" s="101" t="s">
        <v>312</v>
      </c>
      <c r="D3" t="s">
        <v>313</v>
      </c>
      <c r="G3" s="100">
        <f>449*48</f>
        <v>21552</v>
      </c>
    </row>
    <row r="4" spans="2:7" x14ac:dyDescent="0.45">
      <c r="B4" s="101"/>
      <c r="C4" s="101" t="s">
        <v>314</v>
      </c>
      <c r="D4" s="103">
        <v>10000</v>
      </c>
    </row>
    <row r="5" spans="2:7" x14ac:dyDescent="0.45">
      <c r="F5" s="100">
        <f>40*1000</f>
        <v>40000</v>
      </c>
    </row>
    <row r="10" spans="2:7" x14ac:dyDescent="0.45">
      <c r="C10" t="s">
        <v>315</v>
      </c>
    </row>
    <row r="14" spans="2:7" x14ac:dyDescent="0.45">
      <c r="C14" s="102" t="s">
        <v>316</v>
      </c>
    </row>
    <row r="15" spans="2:7" x14ac:dyDescent="0.45">
      <c r="C15" t="s">
        <v>317</v>
      </c>
    </row>
    <row r="16" spans="2:7" x14ac:dyDescent="0.45">
      <c r="C16" t="s">
        <v>316</v>
      </c>
      <c r="D16" s="100">
        <v>20000</v>
      </c>
    </row>
    <row r="17" spans="3:6" x14ac:dyDescent="0.45">
      <c r="C17" t="s">
        <v>318</v>
      </c>
    </row>
    <row r="18" spans="3:6" x14ac:dyDescent="0.45">
      <c r="C18" t="s">
        <v>319</v>
      </c>
      <c r="D18" t="s">
        <v>320</v>
      </c>
    </row>
    <row r="19" spans="3:6" x14ac:dyDescent="0.45">
      <c r="D19" t="s">
        <v>321</v>
      </c>
    </row>
    <row r="21" spans="3:6" x14ac:dyDescent="0.45">
      <c r="C21" t="s">
        <v>322</v>
      </c>
      <c r="D21" t="s">
        <v>323</v>
      </c>
      <c r="F21" t="s">
        <v>324</v>
      </c>
    </row>
    <row r="22" spans="3:6" x14ac:dyDescent="0.45">
      <c r="C22" t="s">
        <v>325</v>
      </c>
      <c r="D22">
        <v>20000</v>
      </c>
      <c r="F22" t="s">
        <v>326</v>
      </c>
    </row>
    <row r="23" spans="3:6" x14ac:dyDescent="0.45">
      <c r="C23" t="s">
        <v>327</v>
      </c>
      <c r="D23" t="s">
        <v>328</v>
      </c>
      <c r="F23" t="s">
        <v>329</v>
      </c>
    </row>
    <row r="25" spans="3:6" x14ac:dyDescent="0.45">
      <c r="C25" t="s">
        <v>211</v>
      </c>
    </row>
    <row r="26" spans="3:6" x14ac:dyDescent="0.45">
      <c r="C26" t="s">
        <v>330</v>
      </c>
    </row>
    <row r="28" spans="3:6" x14ac:dyDescent="0.45">
      <c r="C28" t="s">
        <v>331</v>
      </c>
    </row>
    <row r="29" spans="3:6" x14ac:dyDescent="0.45">
      <c r="C29" t="s">
        <v>332</v>
      </c>
    </row>
    <row r="31" spans="3:6" x14ac:dyDescent="0.45">
      <c r="C31" t="s">
        <v>333</v>
      </c>
    </row>
    <row r="32" spans="3:6" x14ac:dyDescent="0.45">
      <c r="C32">
        <v>7.6</v>
      </c>
    </row>
    <row r="36" spans="3:5" x14ac:dyDescent="0.45">
      <c r="C36" t="s">
        <v>334</v>
      </c>
      <c r="E36" t="s">
        <v>335</v>
      </c>
    </row>
    <row r="37" spans="3:5" x14ac:dyDescent="0.45">
      <c r="C37" t="s">
        <v>336</v>
      </c>
      <c r="E37" t="s">
        <v>337</v>
      </c>
    </row>
    <row r="38" spans="3:5" x14ac:dyDescent="0.45">
      <c r="C38" t="s">
        <v>338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60F86-0C2A-4905-88B6-9A9FF5FDB3ED}">
  <sheetPr>
    <tabColor rgb="FFCCCCFF"/>
    <pageSetUpPr fitToPage="1"/>
  </sheetPr>
  <dimension ref="A1:M55"/>
  <sheetViews>
    <sheetView showGridLines="0" zoomScale="115" zoomScaleNormal="115" workbookViewId="0">
      <selection activeCell="F9" sqref="F9"/>
    </sheetView>
  </sheetViews>
  <sheetFormatPr defaultColWidth="11.33203125" defaultRowHeight="14.25" x14ac:dyDescent="0.45"/>
  <cols>
    <col min="1" max="1" width="27.59765625" customWidth="1"/>
    <col min="2" max="2" width="33.265625" customWidth="1"/>
    <col min="3" max="3" width="44" customWidth="1"/>
    <col min="4" max="4" width="34.265625" customWidth="1"/>
    <col min="5" max="5" width="59" bestFit="1" customWidth="1"/>
    <col min="6" max="6" width="26.59765625" customWidth="1"/>
    <col min="7" max="7" width="24" bestFit="1" customWidth="1"/>
    <col min="8" max="8" width="29.265625" customWidth="1"/>
    <col min="9" max="9" width="30.265625" customWidth="1"/>
    <col min="10" max="10" width="34.59765625" hidden="1" customWidth="1"/>
    <col min="11" max="11" width="12" customWidth="1"/>
    <col min="12" max="12" width="30.73046875" customWidth="1"/>
    <col min="13" max="13" width="35.73046875" customWidth="1"/>
    <col min="14" max="14" width="20.73046875" customWidth="1"/>
    <col min="15" max="15" width="28.73046875" customWidth="1"/>
    <col min="16" max="16" width="71.59765625" customWidth="1"/>
    <col min="17" max="17" width="32.73046875" customWidth="1"/>
    <col min="18" max="18" width="13.265625" customWidth="1"/>
    <col min="19" max="19" width="22.06640625" customWidth="1"/>
    <col min="20" max="20" width="18.796875" customWidth="1"/>
    <col min="21" max="21" width="16.59765625" customWidth="1"/>
  </cols>
  <sheetData>
    <row r="1" spans="1:13" x14ac:dyDescent="0.45">
      <c r="A1" s="31" t="s">
        <v>84</v>
      </c>
      <c r="B1" s="31"/>
      <c r="C1" s="31"/>
      <c r="D1" s="30"/>
      <c r="E1" s="30"/>
      <c r="F1" s="30"/>
      <c r="G1" s="30"/>
      <c r="H1" s="30"/>
      <c r="I1" s="30"/>
      <c r="J1" s="30"/>
      <c r="K1" s="30"/>
    </row>
    <row r="2" spans="1:13" x14ac:dyDescent="0.45">
      <c r="A2" s="5"/>
      <c r="B2" s="5"/>
      <c r="C2" s="5"/>
    </row>
    <row r="3" spans="1:13" ht="28.5" x14ac:dyDescent="0.45">
      <c r="A3" s="83" t="s">
        <v>78</v>
      </c>
      <c r="B3" s="83" t="s">
        <v>79</v>
      </c>
      <c r="C3" s="26">
        <v>2024</v>
      </c>
      <c r="D3" s="26">
        <v>2025</v>
      </c>
      <c r="E3" s="444" t="s">
        <v>80</v>
      </c>
      <c r="F3" s="445"/>
      <c r="G3" s="445"/>
      <c r="H3" s="446"/>
      <c r="I3" s="447" t="s">
        <v>81</v>
      </c>
      <c r="J3" s="448"/>
      <c r="K3" s="448"/>
      <c r="L3" s="448"/>
    </row>
    <row r="4" spans="1:13" ht="174" customHeight="1" x14ac:dyDescent="0.45">
      <c r="A4" s="24">
        <v>2.1</v>
      </c>
      <c r="B4" s="24" t="s">
        <v>85</v>
      </c>
      <c r="C4" s="34">
        <f>ROUNDUP('2.1 Excluded Staff Salaries'!G104,-4)</f>
        <v>1950000</v>
      </c>
      <c r="D4" s="34">
        <f>ROUNDUP('2.1 Excluded Staff Salaries'!G108,-4)</f>
        <v>1990000</v>
      </c>
      <c r="E4" s="441" t="s">
        <v>754</v>
      </c>
      <c r="F4" s="442"/>
      <c r="G4" s="442"/>
      <c r="H4" s="443"/>
      <c r="I4" s="441" t="s">
        <v>391</v>
      </c>
      <c r="J4" s="442"/>
      <c r="K4" s="442"/>
      <c r="L4" s="443"/>
    </row>
    <row r="5" spans="1:13" ht="106.5" customHeight="1" x14ac:dyDescent="0.45">
      <c r="A5" s="24">
        <v>2.2000000000000002</v>
      </c>
      <c r="B5" s="24" t="s">
        <v>86</v>
      </c>
      <c r="C5" s="35">
        <f>ROUNDUP('2.2 Unionized Salaries'!G187,-4)</f>
        <v>6320000</v>
      </c>
      <c r="D5" s="35">
        <f>ROUNDUP('2.2 Unionized Salaries'!G191,-4)</f>
        <v>6450000</v>
      </c>
      <c r="E5" s="441" t="s">
        <v>728</v>
      </c>
      <c r="F5" s="442"/>
      <c r="G5" s="442"/>
      <c r="H5" s="443"/>
      <c r="I5" s="441" t="s">
        <v>408</v>
      </c>
      <c r="J5" s="442"/>
      <c r="K5" s="442"/>
      <c r="L5" s="443"/>
    </row>
    <row r="6" spans="1:13" ht="81.75" customHeight="1" x14ac:dyDescent="0.45">
      <c r="A6" s="24">
        <v>2.2999999999999998</v>
      </c>
      <c r="B6" s="24" t="s">
        <v>87</v>
      </c>
      <c r="C6" s="34">
        <f>ROUND(0.145*(C4+C5)+50000,-4)</f>
        <v>1250000</v>
      </c>
      <c r="D6" s="34">
        <f>ROUND(0.145*(D4+D5)+50000,-4)</f>
        <v>1270000</v>
      </c>
      <c r="E6" s="441" t="s">
        <v>755</v>
      </c>
      <c r="F6" s="442"/>
      <c r="G6" s="442"/>
      <c r="H6" s="443"/>
      <c r="I6" s="441" t="s">
        <v>88</v>
      </c>
      <c r="J6" s="442"/>
      <c r="K6" s="442"/>
      <c r="L6" s="443"/>
    </row>
    <row r="7" spans="1:13" ht="93" customHeight="1" x14ac:dyDescent="0.45">
      <c r="A7" s="24">
        <v>2.4</v>
      </c>
      <c r="B7" s="40" t="s">
        <v>89</v>
      </c>
      <c r="C7" s="34">
        <f>ROUNDUP(D28+20000,-4)</f>
        <v>660000</v>
      </c>
      <c r="D7" s="34">
        <f>ROUNDUP(D37+20000,-4)</f>
        <v>670000</v>
      </c>
      <c r="E7" s="441" t="s">
        <v>341</v>
      </c>
      <c r="F7" s="442"/>
      <c r="G7" s="442"/>
      <c r="H7" s="443"/>
      <c r="I7" s="441" t="s">
        <v>342</v>
      </c>
      <c r="J7" s="442"/>
      <c r="K7" s="442"/>
      <c r="L7" s="443"/>
    </row>
    <row r="8" spans="1:13" ht="59.65" customHeight="1" x14ac:dyDescent="0.45">
      <c r="A8" s="24">
        <v>2.5</v>
      </c>
      <c r="B8" s="40" t="s">
        <v>90</v>
      </c>
      <c r="C8" s="34">
        <f>ROUNDUP($G$52*(C4+C5),-4)</f>
        <v>350000</v>
      </c>
      <c r="D8" s="34">
        <f>ROUNDUP($G$52*(D4+D5),-4)</f>
        <v>350000</v>
      </c>
      <c r="E8" s="441" t="s">
        <v>761</v>
      </c>
      <c r="F8" s="442"/>
      <c r="G8" s="442"/>
      <c r="H8" s="443"/>
      <c r="I8" s="441" t="s">
        <v>762</v>
      </c>
      <c r="J8" s="442"/>
      <c r="K8" s="442"/>
      <c r="L8" s="443"/>
    </row>
    <row r="9" spans="1:13" ht="59.65" customHeight="1" x14ac:dyDescent="0.45">
      <c r="A9" s="24">
        <v>2.6</v>
      </c>
      <c r="B9" s="40" t="s">
        <v>91</v>
      </c>
      <c r="C9" s="34">
        <v>200000</v>
      </c>
      <c r="D9" s="34">
        <v>200000</v>
      </c>
      <c r="E9" s="441"/>
      <c r="F9" s="442"/>
      <c r="G9" s="442"/>
      <c r="H9" s="443"/>
      <c r="I9" s="441"/>
      <c r="J9" s="442"/>
      <c r="K9" s="442"/>
      <c r="L9" s="443"/>
    </row>
    <row r="10" spans="1:13" ht="59.65" customHeight="1" x14ac:dyDescent="0.45">
      <c r="A10" s="24">
        <v>2.7</v>
      </c>
      <c r="B10" s="40" t="s">
        <v>409</v>
      </c>
      <c r="C10" s="34">
        <f>192138+(0.1*192138)</f>
        <v>211351.8</v>
      </c>
      <c r="D10" s="34">
        <f>198479+(0.1*198479)</f>
        <v>218326.9</v>
      </c>
      <c r="E10" s="441" t="s">
        <v>410</v>
      </c>
      <c r="F10" s="442"/>
      <c r="G10" s="442"/>
      <c r="H10" s="443"/>
      <c r="I10" s="441" t="s">
        <v>411</v>
      </c>
      <c r="J10" s="442"/>
      <c r="K10" s="442"/>
      <c r="L10" s="443"/>
    </row>
    <row r="11" spans="1:13" ht="59.65" customHeight="1" x14ac:dyDescent="0.45">
      <c r="A11" s="5"/>
      <c r="B11" s="12"/>
      <c r="C11" s="29"/>
      <c r="D11" s="29"/>
      <c r="E11" s="175"/>
      <c r="F11" s="175"/>
      <c r="G11" s="175"/>
      <c r="H11" s="175"/>
      <c r="I11" s="175"/>
      <c r="J11" s="175"/>
      <c r="K11" s="175"/>
      <c r="L11" s="175"/>
    </row>
    <row r="12" spans="1:13" x14ac:dyDescent="0.45">
      <c r="L12" s="3"/>
      <c r="M12" s="43"/>
    </row>
    <row r="13" spans="1:13" x14ac:dyDescent="0.45">
      <c r="D13" s="135"/>
      <c r="E13" s="100"/>
      <c r="F13" s="32"/>
    </row>
    <row r="14" spans="1:13" x14ac:dyDescent="0.45">
      <c r="A14" s="42" t="s">
        <v>92</v>
      </c>
      <c r="B14" s="41"/>
      <c r="C14" s="41"/>
      <c r="D14" s="41"/>
      <c r="E14" s="41"/>
      <c r="F14" s="41"/>
      <c r="G14" s="41"/>
      <c r="H14" s="41"/>
      <c r="I14" s="41"/>
      <c r="J14" s="41"/>
    </row>
    <row r="15" spans="1:13" x14ac:dyDescent="0.45">
      <c r="A15" s="5"/>
      <c r="B15" s="5"/>
      <c r="C15" s="5"/>
      <c r="D15" s="5"/>
      <c r="F15" s="33"/>
      <c r="G15" s="33"/>
      <c r="H15" s="33"/>
    </row>
    <row r="16" spans="1:13" x14ac:dyDescent="0.45">
      <c r="A16" s="5" t="s">
        <v>756</v>
      </c>
      <c r="B16" s="5"/>
      <c r="C16" s="5"/>
      <c r="D16" s="23">
        <v>37448.86</v>
      </c>
      <c r="F16" s="33"/>
      <c r="G16" s="33"/>
      <c r="H16" s="33"/>
    </row>
    <row r="17" spans="1:8" x14ac:dyDescent="0.45">
      <c r="B17" t="s">
        <v>93</v>
      </c>
      <c r="D17" s="49">
        <v>61</v>
      </c>
      <c r="F17" s="33"/>
      <c r="G17" s="33"/>
      <c r="H17" s="33"/>
    </row>
    <row r="18" spans="1:8" ht="42.75" x14ac:dyDescent="0.45">
      <c r="B18" s="3" t="s">
        <v>94</v>
      </c>
      <c r="D18" s="29">
        <f>D16/D17</f>
        <v>613.915737704918</v>
      </c>
      <c r="F18" s="33"/>
      <c r="G18" s="33"/>
      <c r="H18" s="33"/>
    </row>
    <row r="19" spans="1:8" x14ac:dyDescent="0.45">
      <c r="D19" s="29"/>
      <c r="F19" s="33"/>
      <c r="G19" s="33"/>
      <c r="H19" s="33"/>
    </row>
    <row r="20" spans="1:8" x14ac:dyDescent="0.45">
      <c r="B20" s="3" t="s">
        <v>758</v>
      </c>
      <c r="D20" s="52">
        <v>74</v>
      </c>
      <c r="E20" s="124"/>
      <c r="F20" s="33"/>
      <c r="G20" s="33"/>
      <c r="H20" s="33"/>
    </row>
    <row r="21" spans="1:8" x14ac:dyDescent="0.45">
      <c r="B21" s="5" t="s">
        <v>95</v>
      </c>
      <c r="C21" s="5"/>
      <c r="D21" s="48">
        <f>D18*D20*12*1.02</f>
        <v>556060.31858360651</v>
      </c>
      <c r="F21" s="33"/>
      <c r="G21" s="33"/>
      <c r="H21" s="33"/>
    </row>
    <row r="22" spans="1:8" x14ac:dyDescent="0.45">
      <c r="B22" s="5"/>
      <c r="C22" s="5"/>
      <c r="D22" s="5"/>
      <c r="F22" s="33"/>
      <c r="G22" s="33"/>
      <c r="H22" s="33"/>
    </row>
    <row r="23" spans="1:8" x14ac:dyDescent="0.45">
      <c r="B23" s="5"/>
      <c r="C23" s="5"/>
      <c r="D23" s="5"/>
      <c r="F23" s="33"/>
      <c r="G23" s="33"/>
      <c r="H23" s="33"/>
    </row>
    <row r="24" spans="1:8" ht="28.5" x14ac:dyDescent="0.45">
      <c r="B24" s="3" t="s">
        <v>96</v>
      </c>
      <c r="D24" s="51">
        <v>1000</v>
      </c>
      <c r="E24" t="s">
        <v>97</v>
      </c>
      <c r="F24" s="33"/>
      <c r="G24" s="33"/>
      <c r="H24" s="33"/>
    </row>
    <row r="25" spans="1:8" ht="42.75" x14ac:dyDescent="0.45">
      <c r="B25" s="3" t="s">
        <v>98</v>
      </c>
      <c r="D25" s="51"/>
      <c r="F25" s="33"/>
      <c r="G25" s="33"/>
      <c r="H25" s="33"/>
    </row>
    <row r="26" spans="1:8" x14ac:dyDescent="0.45">
      <c r="B26" s="5" t="s">
        <v>99</v>
      </c>
      <c r="C26" s="5"/>
      <c r="D26" s="50">
        <f>(D20*D24)</f>
        <v>74000</v>
      </c>
      <c r="F26" s="33"/>
      <c r="G26" s="33"/>
      <c r="H26" s="33"/>
    </row>
    <row r="27" spans="1:8" x14ac:dyDescent="0.45">
      <c r="B27" s="5"/>
      <c r="C27" s="5"/>
      <c r="D27" s="5"/>
      <c r="F27" s="33"/>
      <c r="G27" s="33"/>
      <c r="H27" s="33"/>
    </row>
    <row r="28" spans="1:8" ht="28.5" x14ac:dyDescent="0.45">
      <c r="A28" s="5"/>
      <c r="B28" s="12" t="s">
        <v>757</v>
      </c>
      <c r="C28" s="5"/>
      <c r="D28" s="48">
        <f>D21+D26</f>
        <v>630060.31858360651</v>
      </c>
      <c r="F28" s="33"/>
      <c r="G28" s="33"/>
      <c r="H28" s="33"/>
    </row>
    <row r="29" spans="1:8" x14ac:dyDescent="0.45">
      <c r="A29" s="5"/>
      <c r="B29" s="5"/>
      <c r="C29" s="5"/>
      <c r="D29" s="48"/>
      <c r="F29" s="33"/>
      <c r="G29" s="33"/>
      <c r="H29" s="33"/>
    </row>
    <row r="30" spans="1:8" x14ac:dyDescent="0.45">
      <c r="A30" s="5"/>
      <c r="B30" s="5"/>
      <c r="C30" s="5"/>
      <c r="D30" s="48"/>
      <c r="F30" s="33"/>
      <c r="G30" s="33"/>
      <c r="H30" s="33"/>
    </row>
    <row r="31" spans="1:8" ht="28.5" x14ac:dyDescent="0.45">
      <c r="A31" s="5"/>
      <c r="B31" s="3" t="s">
        <v>759</v>
      </c>
      <c r="D31" s="52">
        <v>74</v>
      </c>
      <c r="F31" s="33"/>
      <c r="G31" s="33"/>
      <c r="H31" s="33"/>
    </row>
    <row r="32" spans="1:8" x14ac:dyDescent="0.45">
      <c r="A32" s="5"/>
      <c r="B32" s="5" t="s">
        <v>100</v>
      </c>
      <c r="D32" s="48"/>
      <c r="F32" s="33"/>
      <c r="G32" s="33"/>
      <c r="H32" s="33"/>
    </row>
    <row r="33" spans="1:10" ht="42.75" x14ac:dyDescent="0.45">
      <c r="A33" s="5"/>
      <c r="B33" s="3" t="s">
        <v>101</v>
      </c>
      <c r="D33" s="48">
        <f>D21*1.02</f>
        <v>567181.52495527861</v>
      </c>
      <c r="F33" s="33"/>
      <c r="G33" s="33"/>
      <c r="H33" s="33"/>
    </row>
    <row r="34" spans="1:10" x14ac:dyDescent="0.45">
      <c r="A34" s="5"/>
      <c r="D34" s="29"/>
      <c r="F34" s="33"/>
      <c r="G34" s="33"/>
      <c r="H34" s="33"/>
    </row>
    <row r="35" spans="1:10" x14ac:dyDescent="0.45">
      <c r="A35" s="5"/>
      <c r="B35" s="5" t="s">
        <v>102</v>
      </c>
      <c r="D35" s="48">
        <f>D24*D31</f>
        <v>74000</v>
      </c>
      <c r="F35" s="33"/>
      <c r="G35" s="33"/>
      <c r="H35" s="33"/>
    </row>
    <row r="36" spans="1:10" x14ac:dyDescent="0.45">
      <c r="A36" s="5"/>
      <c r="B36" s="5"/>
      <c r="C36" s="5"/>
      <c r="D36" s="48"/>
      <c r="F36" s="33"/>
      <c r="G36" s="33"/>
      <c r="H36" s="33"/>
    </row>
    <row r="37" spans="1:10" x14ac:dyDescent="0.45">
      <c r="A37" s="5"/>
      <c r="B37" s="5" t="s">
        <v>760</v>
      </c>
      <c r="C37" s="5"/>
      <c r="D37" s="48">
        <f>D33+D35</f>
        <v>641181.52495527861</v>
      </c>
      <c r="F37" s="33"/>
      <c r="G37" s="33"/>
      <c r="H37" s="33"/>
    </row>
    <row r="38" spans="1:10" x14ac:dyDescent="0.45">
      <c r="A38" s="5"/>
      <c r="B38" s="5"/>
      <c r="C38" s="5"/>
      <c r="D38" s="48"/>
      <c r="F38" s="33"/>
      <c r="G38" s="33"/>
      <c r="H38" s="33"/>
    </row>
    <row r="39" spans="1:10" x14ac:dyDescent="0.45">
      <c r="A39" s="5"/>
      <c r="B39" s="5"/>
      <c r="C39" s="5"/>
      <c r="D39" s="48"/>
      <c r="F39" s="33"/>
      <c r="G39" s="33"/>
      <c r="H39" s="33"/>
    </row>
    <row r="40" spans="1:10" x14ac:dyDescent="0.45">
      <c r="A40" s="5"/>
      <c r="B40" s="5"/>
      <c r="C40" s="5"/>
      <c r="D40" s="48"/>
      <c r="F40" s="33"/>
      <c r="G40" s="33"/>
      <c r="H40" s="33"/>
    </row>
    <row r="41" spans="1:10" x14ac:dyDescent="0.45">
      <c r="A41" s="42" t="s">
        <v>103</v>
      </c>
      <c r="B41" s="41"/>
      <c r="C41" s="41"/>
      <c r="D41" s="41"/>
      <c r="E41" s="41"/>
      <c r="F41" s="41"/>
      <c r="G41" s="41"/>
      <c r="H41" s="41"/>
      <c r="I41" s="41"/>
      <c r="J41" s="41"/>
    </row>
    <row r="42" spans="1:10" x14ac:dyDescent="0.45">
      <c r="A42" s="5"/>
      <c r="B42" s="5"/>
      <c r="C42" s="5"/>
      <c r="D42" s="5"/>
      <c r="F42" s="33"/>
      <c r="G42" s="33"/>
      <c r="H42" s="33"/>
    </row>
    <row r="43" spans="1:10" ht="42.75" x14ac:dyDescent="0.45">
      <c r="A43" s="5"/>
      <c r="B43" s="5"/>
      <c r="C43" s="5"/>
      <c r="E43" s="207" t="s">
        <v>104</v>
      </c>
      <c r="F43" s="207" t="s">
        <v>105</v>
      </c>
      <c r="G43" s="21" t="s">
        <v>106</v>
      </c>
      <c r="H43" s="21"/>
    </row>
    <row r="44" spans="1:10" x14ac:dyDescent="0.45">
      <c r="A44" s="5"/>
      <c r="B44" s="5"/>
      <c r="C44" s="5"/>
    </row>
    <row r="45" spans="1:10" x14ac:dyDescent="0.45">
      <c r="A45" s="5"/>
      <c r="B45" s="5"/>
      <c r="C45" s="5"/>
      <c r="E45" s="9"/>
    </row>
    <row r="46" spans="1:10" x14ac:dyDescent="0.45">
      <c r="A46" s="5"/>
      <c r="B46" s="5"/>
      <c r="C46" s="5"/>
      <c r="D46">
        <v>2023</v>
      </c>
      <c r="E46" s="100">
        <f>1639965.36+5109923.82</f>
        <v>6749889.1800000006</v>
      </c>
      <c r="F46" s="100">
        <v>272712.83</v>
      </c>
      <c r="G46" s="72">
        <f>F46/E46</f>
        <v>4.0402564061059146E-2</v>
      </c>
      <c r="H46" s="72"/>
    </row>
    <row r="47" spans="1:10" x14ac:dyDescent="0.45">
      <c r="A47" s="5"/>
      <c r="B47" s="5"/>
      <c r="C47" s="5"/>
      <c r="D47">
        <v>2022</v>
      </c>
      <c r="E47" s="95">
        <f>1890226.83+3624552.93</f>
        <v>5514779.7599999998</v>
      </c>
      <c r="F47" s="95">
        <f>'CAPE - DRAFT'!I21</f>
        <v>73587.179999999993</v>
      </c>
      <c r="G47" s="72">
        <f>F47/E47</f>
        <v>1.3343629882329153E-2</v>
      </c>
      <c r="H47" s="72"/>
    </row>
    <row r="48" spans="1:10" x14ac:dyDescent="0.45">
      <c r="A48" s="5"/>
      <c r="B48" s="5"/>
      <c r="C48" s="5"/>
      <c r="D48">
        <v>2021</v>
      </c>
      <c r="E48" s="95">
        <f>1328279.88+2862360.78</f>
        <v>4190640.6599999997</v>
      </c>
      <c r="F48" s="95">
        <f>'CAPE - DRAFT'!H21</f>
        <v>292028</v>
      </c>
      <c r="G48" s="72">
        <f>F48/E48</f>
        <v>6.9685764944589654E-2</v>
      </c>
      <c r="H48" s="72"/>
    </row>
    <row r="49" spans="1:8" x14ac:dyDescent="0.45">
      <c r="B49" s="5"/>
      <c r="C49" s="5"/>
      <c r="E49" s="100"/>
      <c r="F49" s="208"/>
      <c r="G49" s="72"/>
      <c r="H49" s="92"/>
    </row>
    <row r="50" spans="1:8" x14ac:dyDescent="0.45">
      <c r="B50" s="5"/>
      <c r="C50" s="5"/>
      <c r="E50" s="7"/>
      <c r="F50" s="33"/>
      <c r="G50" s="72"/>
      <c r="H50" s="33"/>
    </row>
    <row r="51" spans="1:8" ht="14.65" thickBot="1" x14ac:dyDescent="0.5">
      <c r="A51" s="5"/>
      <c r="B51" s="5"/>
      <c r="C51" s="5"/>
      <c r="D51" s="5"/>
      <c r="F51" s="33"/>
      <c r="G51" s="33"/>
      <c r="H51" s="33"/>
    </row>
    <row r="52" spans="1:8" ht="14.65" thickBot="1" x14ac:dyDescent="0.5">
      <c r="A52" s="5"/>
      <c r="B52" s="5"/>
      <c r="C52" s="5"/>
      <c r="D52" s="5"/>
      <c r="F52" s="46" t="s">
        <v>107</v>
      </c>
      <c r="G52" s="47">
        <f>(G47+G48+G46)/3</f>
        <v>4.1143986295992648E-2</v>
      </c>
      <c r="H52" s="33"/>
    </row>
    <row r="53" spans="1:8" x14ac:dyDescent="0.45">
      <c r="D53" s="5"/>
      <c r="F53" s="33"/>
      <c r="G53" s="33"/>
    </row>
    <row r="54" spans="1:8" x14ac:dyDescent="0.45">
      <c r="D54" s="5"/>
      <c r="F54" s="33"/>
      <c r="G54" s="33"/>
    </row>
    <row r="55" spans="1:8" x14ac:dyDescent="0.45">
      <c r="D55" s="5"/>
      <c r="F55" s="33"/>
      <c r="G55" s="33"/>
    </row>
  </sheetData>
  <mergeCells count="16">
    <mergeCell ref="E3:H3"/>
    <mergeCell ref="E4:H4"/>
    <mergeCell ref="E5:H5"/>
    <mergeCell ref="I3:L3"/>
    <mergeCell ref="I4:L4"/>
    <mergeCell ref="I5:L5"/>
    <mergeCell ref="E6:H6"/>
    <mergeCell ref="E7:H7"/>
    <mergeCell ref="E8:H8"/>
    <mergeCell ref="I6:L6"/>
    <mergeCell ref="I7:L7"/>
    <mergeCell ref="E10:H10"/>
    <mergeCell ref="I10:L10"/>
    <mergeCell ref="E9:H9"/>
    <mergeCell ref="I9:L9"/>
    <mergeCell ref="I8:L8"/>
  </mergeCells>
  <pageMargins left="0.7" right="0.7" top="0.75" bottom="0.75" header="0.3" footer="0.3"/>
  <pageSetup paperSize="3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82434-5743-49CC-8D43-979F49CA055C}">
  <dimension ref="A1:J108"/>
  <sheetViews>
    <sheetView topLeftCell="A81" workbookViewId="0">
      <selection activeCell="F9" sqref="F9"/>
    </sheetView>
  </sheetViews>
  <sheetFormatPr defaultColWidth="9.06640625" defaultRowHeight="14.25" x14ac:dyDescent="0.45"/>
  <cols>
    <col min="1" max="1" width="7.73046875" style="108" customWidth="1"/>
    <col min="2" max="2" width="9.46484375" style="108" customWidth="1"/>
    <col min="3" max="3" width="12" style="108" customWidth="1"/>
    <col min="4" max="4" width="12.796875" style="108" customWidth="1"/>
    <col min="5" max="5" width="24.06640625" style="108" customWidth="1"/>
    <col min="6" max="6" width="72.796875" style="108" bestFit="1" customWidth="1"/>
    <col min="7" max="7" width="30.06640625" style="108" customWidth="1"/>
    <col min="8" max="8" width="23.19921875" style="108" customWidth="1"/>
    <col min="9" max="9" width="11.19921875" style="108" customWidth="1"/>
    <col min="10" max="10" width="8.59765625" style="108" customWidth="1"/>
    <col min="11" max="16384" width="9.06640625" style="108"/>
  </cols>
  <sheetData>
    <row r="1" spans="1:10" ht="17.649999999999999" hidden="1" x14ac:dyDescent="0.5">
      <c r="A1" s="451" t="s">
        <v>390</v>
      </c>
      <c r="B1" s="450"/>
      <c r="C1" s="450"/>
      <c r="D1" s="450"/>
      <c r="E1" s="450"/>
      <c r="F1" s="450"/>
      <c r="G1" s="450"/>
      <c r="H1" s="450"/>
      <c r="I1" s="450"/>
      <c r="J1" s="450"/>
    </row>
    <row r="2" spans="1:10" ht="17.649999999999999" hidden="1" x14ac:dyDescent="0.5">
      <c r="A2" s="451" t="s">
        <v>389</v>
      </c>
      <c r="B2" s="450"/>
      <c r="C2" s="450"/>
      <c r="D2" s="450"/>
      <c r="E2" s="450"/>
      <c r="F2" s="450"/>
      <c r="G2" s="450"/>
      <c r="H2" s="450"/>
      <c r="I2" s="450"/>
      <c r="J2" s="450"/>
    </row>
    <row r="3" spans="1:10" hidden="1" x14ac:dyDescent="0.45">
      <c r="A3" s="452" t="s">
        <v>727</v>
      </c>
      <c r="B3" s="450"/>
      <c r="C3" s="450"/>
      <c r="D3" s="450"/>
      <c r="E3" s="450"/>
      <c r="F3" s="450"/>
      <c r="G3" s="450"/>
      <c r="H3" s="450"/>
      <c r="I3" s="450"/>
      <c r="J3" s="450"/>
    </row>
    <row r="4" spans="1:10" hidden="1" x14ac:dyDescent="0.45"/>
    <row r="5" spans="1:10" ht="24" hidden="1" x14ac:dyDescent="0.45">
      <c r="B5" s="171" t="s">
        <v>388</v>
      </c>
      <c r="C5" s="171" t="s">
        <v>387</v>
      </c>
      <c r="D5" s="171" t="s">
        <v>386</v>
      </c>
      <c r="E5" s="171" t="s">
        <v>385</v>
      </c>
      <c r="F5" s="171" t="s">
        <v>384</v>
      </c>
      <c r="G5" s="171" t="s">
        <v>383</v>
      </c>
      <c r="H5" s="171" t="s">
        <v>382</v>
      </c>
      <c r="I5" s="171" t="s">
        <v>381</v>
      </c>
      <c r="J5" s="171" t="s">
        <v>380</v>
      </c>
    </row>
    <row r="6" spans="1:10" hidden="1" x14ac:dyDescent="0.45">
      <c r="B6" s="170" t="s">
        <v>724</v>
      </c>
      <c r="C6" s="170" t="s">
        <v>375</v>
      </c>
      <c r="D6" s="170" t="s">
        <v>723</v>
      </c>
      <c r="E6" s="170"/>
      <c r="F6" s="170" t="s">
        <v>376</v>
      </c>
      <c r="G6" s="170" t="s">
        <v>373</v>
      </c>
      <c r="H6" s="169" t="s">
        <v>372</v>
      </c>
      <c r="I6" s="168">
        <v>-3309.76</v>
      </c>
      <c r="J6" s="168">
        <v>-3309.76</v>
      </c>
    </row>
    <row r="7" spans="1:10" hidden="1" x14ac:dyDescent="0.45">
      <c r="B7" s="170" t="s">
        <v>724</v>
      </c>
      <c r="C7" s="170" t="s">
        <v>375</v>
      </c>
      <c r="D7" s="170" t="s">
        <v>723</v>
      </c>
      <c r="E7" s="170"/>
      <c r="F7" s="170" t="s">
        <v>379</v>
      </c>
      <c r="G7" s="170" t="s">
        <v>373</v>
      </c>
      <c r="H7" s="169" t="s">
        <v>372</v>
      </c>
      <c r="I7" s="168">
        <v>-229.04</v>
      </c>
      <c r="J7" s="168">
        <v>-3538.8</v>
      </c>
    </row>
    <row r="8" spans="1:10" hidden="1" x14ac:dyDescent="0.45">
      <c r="B8" s="170" t="s">
        <v>724</v>
      </c>
      <c r="C8" s="170" t="s">
        <v>375</v>
      </c>
      <c r="D8" s="170" t="s">
        <v>723</v>
      </c>
      <c r="E8" s="170"/>
      <c r="F8" s="170" t="s">
        <v>377</v>
      </c>
      <c r="G8" s="170" t="s">
        <v>373</v>
      </c>
      <c r="H8" s="169" t="s">
        <v>372</v>
      </c>
      <c r="I8" s="168">
        <v>76414.7</v>
      </c>
      <c r="J8" s="168">
        <v>72875.899999999994</v>
      </c>
    </row>
    <row r="9" spans="1:10" hidden="1" x14ac:dyDescent="0.45">
      <c r="B9" s="170" t="s">
        <v>724</v>
      </c>
      <c r="C9" s="170" t="s">
        <v>375</v>
      </c>
      <c r="D9" s="170" t="s">
        <v>723</v>
      </c>
      <c r="E9" s="170"/>
      <c r="F9" s="170" t="s">
        <v>378</v>
      </c>
      <c r="G9" s="170" t="s">
        <v>373</v>
      </c>
      <c r="H9" s="169" t="s">
        <v>372</v>
      </c>
      <c r="I9" s="168">
        <v>298.01</v>
      </c>
      <c r="J9" s="168">
        <v>73173.91</v>
      </c>
    </row>
    <row r="10" spans="1:10" hidden="1" x14ac:dyDescent="0.45">
      <c r="B10" s="170" t="s">
        <v>724</v>
      </c>
      <c r="C10" s="170" t="s">
        <v>375</v>
      </c>
      <c r="D10" s="170" t="s">
        <v>723</v>
      </c>
      <c r="E10" s="170"/>
      <c r="F10" s="170" t="s">
        <v>374</v>
      </c>
      <c r="G10" s="170" t="s">
        <v>373</v>
      </c>
      <c r="H10" s="169" t="s">
        <v>372</v>
      </c>
      <c r="I10" s="168">
        <v>-298.01</v>
      </c>
      <c r="J10" s="168">
        <v>72875.899999999994</v>
      </c>
    </row>
    <row r="11" spans="1:10" hidden="1" x14ac:dyDescent="0.45">
      <c r="B11" s="170" t="s">
        <v>722</v>
      </c>
      <c r="C11" s="170" t="s">
        <v>375</v>
      </c>
      <c r="D11" s="170" t="s">
        <v>721</v>
      </c>
      <c r="E11" s="170"/>
      <c r="F11" s="170" t="s">
        <v>376</v>
      </c>
      <c r="G11" s="170" t="s">
        <v>373</v>
      </c>
      <c r="H11" s="169" t="s">
        <v>372</v>
      </c>
      <c r="I11" s="168">
        <v>-3309.76</v>
      </c>
      <c r="J11" s="168">
        <v>69566.14</v>
      </c>
    </row>
    <row r="12" spans="1:10" hidden="1" x14ac:dyDescent="0.45">
      <c r="B12" s="170" t="s">
        <v>722</v>
      </c>
      <c r="C12" s="170" t="s">
        <v>375</v>
      </c>
      <c r="D12" s="170" t="s">
        <v>721</v>
      </c>
      <c r="E12" s="170"/>
      <c r="F12" s="170" t="s">
        <v>379</v>
      </c>
      <c r="G12" s="170" t="s">
        <v>373</v>
      </c>
      <c r="H12" s="169" t="s">
        <v>372</v>
      </c>
      <c r="I12" s="168">
        <v>-229.04</v>
      </c>
      <c r="J12" s="168">
        <v>69337.100000000006</v>
      </c>
    </row>
    <row r="13" spans="1:10" hidden="1" x14ac:dyDescent="0.45">
      <c r="B13" s="170" t="s">
        <v>722</v>
      </c>
      <c r="C13" s="170" t="s">
        <v>375</v>
      </c>
      <c r="D13" s="170" t="s">
        <v>721</v>
      </c>
      <c r="E13" s="170"/>
      <c r="F13" s="170" t="s">
        <v>377</v>
      </c>
      <c r="G13" s="170" t="s">
        <v>373</v>
      </c>
      <c r="H13" s="169" t="s">
        <v>372</v>
      </c>
      <c r="I13" s="168">
        <v>67752.259999999995</v>
      </c>
      <c r="J13" s="168">
        <v>137089.35999999999</v>
      </c>
    </row>
    <row r="14" spans="1:10" hidden="1" x14ac:dyDescent="0.45">
      <c r="B14" s="170" t="s">
        <v>722</v>
      </c>
      <c r="C14" s="170" t="s">
        <v>375</v>
      </c>
      <c r="D14" s="170" t="s">
        <v>721</v>
      </c>
      <c r="E14" s="170"/>
      <c r="F14" s="170" t="s">
        <v>378</v>
      </c>
      <c r="G14" s="170" t="s">
        <v>373</v>
      </c>
      <c r="H14" s="169" t="s">
        <v>372</v>
      </c>
      <c r="I14" s="168">
        <v>264.92</v>
      </c>
      <c r="J14" s="168">
        <v>137354.28</v>
      </c>
    </row>
    <row r="15" spans="1:10" hidden="1" x14ac:dyDescent="0.45">
      <c r="B15" s="170" t="s">
        <v>722</v>
      </c>
      <c r="C15" s="170" t="s">
        <v>375</v>
      </c>
      <c r="D15" s="170" t="s">
        <v>721</v>
      </c>
      <c r="E15" s="170"/>
      <c r="F15" s="170" t="s">
        <v>374</v>
      </c>
      <c r="G15" s="170" t="s">
        <v>373</v>
      </c>
      <c r="H15" s="169" t="s">
        <v>372</v>
      </c>
      <c r="I15" s="168">
        <v>-264.92</v>
      </c>
      <c r="J15" s="168">
        <v>137089.35999999999</v>
      </c>
    </row>
    <row r="16" spans="1:10" hidden="1" x14ac:dyDescent="0.45">
      <c r="B16" s="170" t="s">
        <v>717</v>
      </c>
      <c r="C16" s="170" t="s">
        <v>375</v>
      </c>
      <c r="D16" s="170" t="s">
        <v>753</v>
      </c>
      <c r="E16" s="170"/>
      <c r="F16" s="170"/>
      <c r="G16" s="170" t="s">
        <v>373</v>
      </c>
      <c r="H16" s="169" t="s">
        <v>372</v>
      </c>
      <c r="I16" s="168">
        <v>-14471.66</v>
      </c>
      <c r="J16" s="168">
        <v>122617.7</v>
      </c>
    </row>
    <row r="17" spans="2:10" hidden="1" x14ac:dyDescent="0.45">
      <c r="B17" s="170" t="s">
        <v>714</v>
      </c>
      <c r="C17" s="170" t="s">
        <v>375</v>
      </c>
      <c r="D17" s="170" t="s">
        <v>713</v>
      </c>
      <c r="E17" s="170"/>
      <c r="F17" s="170" t="s">
        <v>376</v>
      </c>
      <c r="G17" s="170" t="s">
        <v>373</v>
      </c>
      <c r="H17" s="169" t="s">
        <v>372</v>
      </c>
      <c r="I17" s="168">
        <v>-3309.76</v>
      </c>
      <c r="J17" s="168">
        <v>119307.94</v>
      </c>
    </row>
    <row r="18" spans="2:10" hidden="1" x14ac:dyDescent="0.45">
      <c r="B18" s="170" t="s">
        <v>714</v>
      </c>
      <c r="C18" s="170" t="s">
        <v>375</v>
      </c>
      <c r="D18" s="170" t="s">
        <v>713</v>
      </c>
      <c r="E18" s="170"/>
      <c r="F18" s="170" t="s">
        <v>379</v>
      </c>
      <c r="G18" s="170" t="s">
        <v>373</v>
      </c>
      <c r="H18" s="169" t="s">
        <v>372</v>
      </c>
      <c r="I18" s="168">
        <v>-229.04</v>
      </c>
      <c r="J18" s="168">
        <v>119078.9</v>
      </c>
    </row>
    <row r="19" spans="2:10" hidden="1" x14ac:dyDescent="0.45">
      <c r="B19" s="170" t="s">
        <v>714</v>
      </c>
      <c r="C19" s="170" t="s">
        <v>375</v>
      </c>
      <c r="D19" s="170" t="s">
        <v>713</v>
      </c>
      <c r="E19" s="170"/>
      <c r="F19" s="170" t="s">
        <v>377</v>
      </c>
      <c r="G19" s="170" t="s">
        <v>373</v>
      </c>
      <c r="H19" s="169" t="s">
        <v>372</v>
      </c>
      <c r="I19" s="168">
        <v>67728.039999999994</v>
      </c>
      <c r="J19" s="168">
        <v>186806.94</v>
      </c>
    </row>
    <row r="20" spans="2:10" hidden="1" x14ac:dyDescent="0.45">
      <c r="B20" s="170" t="s">
        <v>714</v>
      </c>
      <c r="C20" s="170" t="s">
        <v>375</v>
      </c>
      <c r="D20" s="170" t="s">
        <v>713</v>
      </c>
      <c r="E20" s="170"/>
      <c r="F20" s="170" t="s">
        <v>378</v>
      </c>
      <c r="G20" s="170" t="s">
        <v>373</v>
      </c>
      <c r="H20" s="169" t="s">
        <v>372</v>
      </c>
      <c r="I20" s="168">
        <v>263.02</v>
      </c>
      <c r="J20" s="168">
        <v>187069.96</v>
      </c>
    </row>
    <row r="21" spans="2:10" hidden="1" x14ac:dyDescent="0.45">
      <c r="B21" s="170" t="s">
        <v>714</v>
      </c>
      <c r="C21" s="170" t="s">
        <v>375</v>
      </c>
      <c r="D21" s="170" t="s">
        <v>713</v>
      </c>
      <c r="E21" s="170"/>
      <c r="F21" s="170" t="s">
        <v>374</v>
      </c>
      <c r="G21" s="170" t="s">
        <v>373</v>
      </c>
      <c r="H21" s="169" t="s">
        <v>372</v>
      </c>
      <c r="I21" s="168">
        <v>-263.02</v>
      </c>
      <c r="J21" s="168">
        <v>186806.94</v>
      </c>
    </row>
    <row r="22" spans="2:10" hidden="1" x14ac:dyDescent="0.45">
      <c r="B22" s="170" t="s">
        <v>712</v>
      </c>
      <c r="C22" s="170" t="s">
        <v>375</v>
      </c>
      <c r="D22" s="170" t="s">
        <v>711</v>
      </c>
      <c r="E22" s="170"/>
      <c r="F22" s="170" t="s">
        <v>376</v>
      </c>
      <c r="G22" s="170" t="s">
        <v>373</v>
      </c>
      <c r="H22" s="169" t="s">
        <v>372</v>
      </c>
      <c r="I22" s="168">
        <v>-3929.44</v>
      </c>
      <c r="J22" s="168">
        <v>182877.5</v>
      </c>
    </row>
    <row r="23" spans="2:10" hidden="1" x14ac:dyDescent="0.45">
      <c r="B23" s="170" t="s">
        <v>712</v>
      </c>
      <c r="C23" s="170" t="s">
        <v>375</v>
      </c>
      <c r="D23" s="170" t="s">
        <v>711</v>
      </c>
      <c r="E23" s="170"/>
      <c r="F23" s="170" t="s">
        <v>379</v>
      </c>
      <c r="G23" s="170" t="s">
        <v>373</v>
      </c>
      <c r="H23" s="169" t="s">
        <v>372</v>
      </c>
      <c r="I23" s="168">
        <v>-229.04</v>
      </c>
      <c r="J23" s="168">
        <v>182648.46</v>
      </c>
    </row>
    <row r="24" spans="2:10" hidden="1" x14ac:dyDescent="0.45">
      <c r="B24" s="170" t="s">
        <v>712</v>
      </c>
      <c r="C24" s="170" t="s">
        <v>375</v>
      </c>
      <c r="D24" s="170" t="s">
        <v>711</v>
      </c>
      <c r="E24" s="170"/>
      <c r="F24" s="170" t="s">
        <v>377</v>
      </c>
      <c r="G24" s="170" t="s">
        <v>373</v>
      </c>
      <c r="H24" s="169" t="s">
        <v>372</v>
      </c>
      <c r="I24" s="168">
        <v>76222.89</v>
      </c>
      <c r="J24" s="168">
        <v>258871.35</v>
      </c>
    </row>
    <row r="25" spans="2:10" hidden="1" x14ac:dyDescent="0.45">
      <c r="B25" s="170" t="s">
        <v>712</v>
      </c>
      <c r="C25" s="170" t="s">
        <v>375</v>
      </c>
      <c r="D25" s="170" t="s">
        <v>711</v>
      </c>
      <c r="E25" s="170"/>
      <c r="F25" s="170" t="s">
        <v>378</v>
      </c>
      <c r="G25" s="170" t="s">
        <v>373</v>
      </c>
      <c r="H25" s="169" t="s">
        <v>372</v>
      </c>
      <c r="I25" s="168">
        <v>295.45</v>
      </c>
      <c r="J25" s="168">
        <v>259166.8</v>
      </c>
    </row>
    <row r="26" spans="2:10" hidden="1" x14ac:dyDescent="0.45">
      <c r="B26" s="170" t="s">
        <v>712</v>
      </c>
      <c r="C26" s="170" t="s">
        <v>375</v>
      </c>
      <c r="D26" s="170" t="s">
        <v>711</v>
      </c>
      <c r="E26" s="170"/>
      <c r="F26" s="170" t="s">
        <v>374</v>
      </c>
      <c r="G26" s="170" t="s">
        <v>373</v>
      </c>
      <c r="H26" s="169" t="s">
        <v>372</v>
      </c>
      <c r="I26" s="168">
        <v>-295.45</v>
      </c>
      <c r="J26" s="168">
        <v>258871.35</v>
      </c>
    </row>
    <row r="27" spans="2:10" hidden="1" x14ac:dyDescent="0.45">
      <c r="B27" s="170" t="s">
        <v>710</v>
      </c>
      <c r="C27" s="170" t="s">
        <v>375</v>
      </c>
      <c r="D27" s="170" t="s">
        <v>752</v>
      </c>
      <c r="E27" s="170"/>
      <c r="F27" s="170"/>
      <c r="G27" s="170" t="s">
        <v>373</v>
      </c>
      <c r="H27" s="169" t="s">
        <v>372</v>
      </c>
      <c r="I27" s="168">
        <v>-14471.66</v>
      </c>
      <c r="J27" s="168">
        <v>244399.69</v>
      </c>
    </row>
    <row r="28" spans="2:10" hidden="1" x14ac:dyDescent="0.45">
      <c r="B28" s="170" t="s">
        <v>751</v>
      </c>
      <c r="C28" s="170" t="s">
        <v>405</v>
      </c>
      <c r="D28" s="170" t="s">
        <v>750</v>
      </c>
      <c r="E28" s="170" t="s">
        <v>742</v>
      </c>
      <c r="F28" s="170" t="s">
        <v>749</v>
      </c>
      <c r="G28" s="170" t="s">
        <v>373</v>
      </c>
      <c r="H28" s="170" t="s">
        <v>403</v>
      </c>
      <c r="I28" s="168">
        <v>16027.52</v>
      </c>
      <c r="J28" s="168">
        <v>260427.21</v>
      </c>
    </row>
    <row r="29" spans="2:10" hidden="1" x14ac:dyDescent="0.45">
      <c r="B29" s="170" t="s">
        <v>707</v>
      </c>
      <c r="C29" s="170" t="s">
        <v>375</v>
      </c>
      <c r="D29" s="170" t="s">
        <v>706</v>
      </c>
      <c r="E29" s="170"/>
      <c r="F29" s="170" t="s">
        <v>376</v>
      </c>
      <c r="G29" s="170" t="s">
        <v>373</v>
      </c>
      <c r="H29" s="169" t="s">
        <v>372</v>
      </c>
      <c r="I29" s="168">
        <v>-3752.39</v>
      </c>
      <c r="J29" s="168">
        <v>256674.82</v>
      </c>
    </row>
    <row r="30" spans="2:10" hidden="1" x14ac:dyDescent="0.45">
      <c r="B30" s="170" t="s">
        <v>707</v>
      </c>
      <c r="C30" s="170" t="s">
        <v>375</v>
      </c>
      <c r="D30" s="170" t="s">
        <v>706</v>
      </c>
      <c r="E30" s="170"/>
      <c r="F30" s="170" t="s">
        <v>379</v>
      </c>
      <c r="G30" s="170" t="s">
        <v>373</v>
      </c>
      <c r="H30" s="169" t="s">
        <v>372</v>
      </c>
      <c r="I30" s="168">
        <v>-229.04</v>
      </c>
      <c r="J30" s="168">
        <v>256445.78</v>
      </c>
    </row>
    <row r="31" spans="2:10" hidden="1" x14ac:dyDescent="0.45">
      <c r="B31" s="170" t="s">
        <v>707</v>
      </c>
      <c r="C31" s="170" t="s">
        <v>375</v>
      </c>
      <c r="D31" s="170" t="s">
        <v>706</v>
      </c>
      <c r="E31" s="170"/>
      <c r="F31" s="170" t="s">
        <v>377</v>
      </c>
      <c r="G31" s="170" t="s">
        <v>373</v>
      </c>
      <c r="H31" s="169" t="s">
        <v>372</v>
      </c>
      <c r="I31" s="168">
        <v>74910</v>
      </c>
      <c r="J31" s="168">
        <v>331355.78000000003</v>
      </c>
    </row>
    <row r="32" spans="2:10" hidden="1" x14ac:dyDescent="0.45">
      <c r="B32" s="170" t="s">
        <v>707</v>
      </c>
      <c r="C32" s="170" t="s">
        <v>375</v>
      </c>
      <c r="D32" s="170" t="s">
        <v>706</v>
      </c>
      <c r="E32" s="170"/>
      <c r="F32" s="170" t="s">
        <v>378</v>
      </c>
      <c r="G32" s="170" t="s">
        <v>373</v>
      </c>
      <c r="H32" s="169" t="s">
        <v>372</v>
      </c>
      <c r="I32" s="168">
        <v>290.45</v>
      </c>
      <c r="J32" s="168">
        <v>331646.23</v>
      </c>
    </row>
    <row r="33" spans="2:10" hidden="1" x14ac:dyDescent="0.45">
      <c r="B33" s="170" t="s">
        <v>707</v>
      </c>
      <c r="C33" s="170" t="s">
        <v>375</v>
      </c>
      <c r="D33" s="170" t="s">
        <v>706</v>
      </c>
      <c r="E33" s="170"/>
      <c r="F33" s="170" t="s">
        <v>374</v>
      </c>
      <c r="G33" s="170" t="s">
        <v>373</v>
      </c>
      <c r="H33" s="169" t="s">
        <v>372</v>
      </c>
      <c r="I33" s="168">
        <v>-290.45</v>
      </c>
      <c r="J33" s="168">
        <v>331355.78000000003</v>
      </c>
    </row>
    <row r="34" spans="2:10" hidden="1" x14ac:dyDescent="0.45">
      <c r="B34" s="170" t="s">
        <v>701</v>
      </c>
      <c r="C34" s="170" t="s">
        <v>375</v>
      </c>
      <c r="D34" s="170" t="s">
        <v>700</v>
      </c>
      <c r="E34" s="170"/>
      <c r="F34" s="170" t="s">
        <v>740</v>
      </c>
      <c r="G34" s="170" t="s">
        <v>373</v>
      </c>
      <c r="H34" s="169" t="s">
        <v>372</v>
      </c>
      <c r="I34" s="168">
        <v>-3752.39</v>
      </c>
      <c r="J34" s="168">
        <v>327603.39</v>
      </c>
    </row>
    <row r="35" spans="2:10" hidden="1" x14ac:dyDescent="0.45">
      <c r="B35" s="170" t="s">
        <v>701</v>
      </c>
      <c r="C35" s="170" t="s">
        <v>375</v>
      </c>
      <c r="D35" s="170" t="s">
        <v>700</v>
      </c>
      <c r="E35" s="170"/>
      <c r="F35" s="170" t="s">
        <v>377</v>
      </c>
      <c r="G35" s="170" t="s">
        <v>373</v>
      </c>
      <c r="H35" s="169" t="s">
        <v>372</v>
      </c>
      <c r="I35" s="168">
        <v>65602.62</v>
      </c>
      <c r="J35" s="168">
        <v>393206.01</v>
      </c>
    </row>
    <row r="36" spans="2:10" hidden="1" x14ac:dyDescent="0.45">
      <c r="B36" s="170" t="s">
        <v>701</v>
      </c>
      <c r="C36" s="170" t="s">
        <v>375</v>
      </c>
      <c r="D36" s="170" t="s">
        <v>700</v>
      </c>
      <c r="E36" s="170"/>
      <c r="F36" s="170" t="s">
        <v>378</v>
      </c>
      <c r="G36" s="170" t="s">
        <v>373</v>
      </c>
      <c r="H36" s="169" t="s">
        <v>372</v>
      </c>
      <c r="I36" s="168">
        <v>255.08</v>
      </c>
      <c r="J36" s="168">
        <v>393461.09</v>
      </c>
    </row>
    <row r="37" spans="2:10" hidden="1" x14ac:dyDescent="0.45">
      <c r="B37" s="170" t="s">
        <v>701</v>
      </c>
      <c r="C37" s="170" t="s">
        <v>375</v>
      </c>
      <c r="D37" s="170" t="s">
        <v>700</v>
      </c>
      <c r="E37" s="170"/>
      <c r="F37" s="170" t="s">
        <v>374</v>
      </c>
      <c r="G37" s="170" t="s">
        <v>373</v>
      </c>
      <c r="H37" s="169" t="s">
        <v>372</v>
      </c>
      <c r="I37" s="168">
        <v>-255.08</v>
      </c>
      <c r="J37" s="168">
        <v>393206.01</v>
      </c>
    </row>
    <row r="38" spans="2:10" hidden="1" x14ac:dyDescent="0.45">
      <c r="B38" s="170" t="s">
        <v>748</v>
      </c>
      <c r="C38" s="170" t="s">
        <v>405</v>
      </c>
      <c r="D38" s="170" t="s">
        <v>747</v>
      </c>
      <c r="E38" s="170" t="s">
        <v>746</v>
      </c>
      <c r="F38" s="170" t="s">
        <v>745</v>
      </c>
      <c r="G38" s="170" t="s">
        <v>373</v>
      </c>
      <c r="H38" s="170" t="s">
        <v>403</v>
      </c>
      <c r="I38" s="168">
        <v>19264.66</v>
      </c>
      <c r="J38" s="168">
        <v>412470.67</v>
      </c>
    </row>
    <row r="39" spans="2:10" hidden="1" x14ac:dyDescent="0.45">
      <c r="B39" s="170" t="s">
        <v>694</v>
      </c>
      <c r="C39" s="170" t="s">
        <v>375</v>
      </c>
      <c r="D39" s="170" t="s">
        <v>695</v>
      </c>
      <c r="E39" s="170"/>
      <c r="F39" s="170" t="s">
        <v>740</v>
      </c>
      <c r="G39" s="170" t="s">
        <v>373</v>
      </c>
      <c r="H39" s="169" t="s">
        <v>372</v>
      </c>
      <c r="I39" s="168">
        <v>-3752.39</v>
      </c>
      <c r="J39" s="168">
        <v>408718.28</v>
      </c>
    </row>
    <row r="40" spans="2:10" hidden="1" x14ac:dyDescent="0.45">
      <c r="B40" s="170" t="s">
        <v>694</v>
      </c>
      <c r="C40" s="170" t="s">
        <v>375</v>
      </c>
      <c r="D40" s="170" t="s">
        <v>695</v>
      </c>
      <c r="E40" s="170"/>
      <c r="F40" s="170" t="s">
        <v>377</v>
      </c>
      <c r="G40" s="170" t="s">
        <v>373</v>
      </c>
      <c r="H40" s="169" t="s">
        <v>372</v>
      </c>
      <c r="I40" s="168">
        <v>64944.4</v>
      </c>
      <c r="J40" s="168">
        <v>473662.68</v>
      </c>
    </row>
    <row r="41" spans="2:10" hidden="1" x14ac:dyDescent="0.45">
      <c r="B41" s="170" t="s">
        <v>694</v>
      </c>
      <c r="C41" s="170" t="s">
        <v>375</v>
      </c>
      <c r="D41" s="170" t="s">
        <v>695</v>
      </c>
      <c r="E41" s="170"/>
      <c r="F41" s="170" t="s">
        <v>378</v>
      </c>
      <c r="G41" s="170" t="s">
        <v>373</v>
      </c>
      <c r="H41" s="169" t="s">
        <v>372</v>
      </c>
      <c r="I41" s="168">
        <v>253.25</v>
      </c>
      <c r="J41" s="168">
        <v>473915.93</v>
      </c>
    </row>
    <row r="42" spans="2:10" hidden="1" x14ac:dyDescent="0.45">
      <c r="B42" s="170" t="s">
        <v>694</v>
      </c>
      <c r="C42" s="170" t="s">
        <v>375</v>
      </c>
      <c r="D42" s="170" t="s">
        <v>695</v>
      </c>
      <c r="E42" s="170"/>
      <c r="F42" s="170" t="s">
        <v>374</v>
      </c>
      <c r="G42" s="170" t="s">
        <v>373</v>
      </c>
      <c r="H42" s="169" t="s">
        <v>372</v>
      </c>
      <c r="I42" s="168">
        <v>-253.25</v>
      </c>
      <c r="J42" s="168">
        <v>473662.68</v>
      </c>
    </row>
    <row r="43" spans="2:10" hidden="1" x14ac:dyDescent="0.45">
      <c r="B43" s="170" t="s">
        <v>691</v>
      </c>
      <c r="C43" s="170" t="s">
        <v>375</v>
      </c>
      <c r="D43" s="170" t="s">
        <v>692</v>
      </c>
      <c r="E43" s="170"/>
      <c r="F43" s="170" t="s">
        <v>740</v>
      </c>
      <c r="G43" s="170" t="s">
        <v>373</v>
      </c>
      <c r="H43" s="169" t="s">
        <v>372</v>
      </c>
      <c r="I43" s="168">
        <v>-3752.39</v>
      </c>
      <c r="J43" s="168">
        <v>469910.29</v>
      </c>
    </row>
    <row r="44" spans="2:10" hidden="1" x14ac:dyDescent="0.45">
      <c r="B44" s="170" t="s">
        <v>691</v>
      </c>
      <c r="C44" s="170" t="s">
        <v>375</v>
      </c>
      <c r="D44" s="170" t="s">
        <v>692</v>
      </c>
      <c r="E44" s="170"/>
      <c r="F44" s="170" t="s">
        <v>377</v>
      </c>
      <c r="G44" s="170" t="s">
        <v>373</v>
      </c>
      <c r="H44" s="169" t="s">
        <v>372</v>
      </c>
      <c r="I44" s="168">
        <v>64680.02</v>
      </c>
      <c r="J44" s="168">
        <v>534590.31000000006</v>
      </c>
    </row>
    <row r="45" spans="2:10" hidden="1" x14ac:dyDescent="0.45">
      <c r="B45" s="170" t="s">
        <v>691</v>
      </c>
      <c r="C45" s="170" t="s">
        <v>375</v>
      </c>
      <c r="D45" s="170" t="s">
        <v>692</v>
      </c>
      <c r="E45" s="170"/>
      <c r="F45" s="170" t="s">
        <v>378</v>
      </c>
      <c r="G45" s="170" t="s">
        <v>373</v>
      </c>
      <c r="H45" s="169" t="s">
        <v>372</v>
      </c>
      <c r="I45" s="168">
        <v>252.24</v>
      </c>
      <c r="J45" s="168">
        <v>534842.55000000005</v>
      </c>
    </row>
    <row r="46" spans="2:10" hidden="1" x14ac:dyDescent="0.45">
      <c r="B46" s="170" t="s">
        <v>691</v>
      </c>
      <c r="C46" s="170" t="s">
        <v>375</v>
      </c>
      <c r="D46" s="170" t="s">
        <v>692</v>
      </c>
      <c r="E46" s="170"/>
      <c r="F46" s="170" t="s">
        <v>374</v>
      </c>
      <c r="G46" s="170" t="s">
        <v>373</v>
      </c>
      <c r="H46" s="169" t="s">
        <v>372</v>
      </c>
      <c r="I46" s="168">
        <v>-252.24</v>
      </c>
      <c r="J46" s="168">
        <v>534590.31000000006</v>
      </c>
    </row>
    <row r="47" spans="2:10" hidden="1" x14ac:dyDescent="0.45">
      <c r="B47" s="170" t="s">
        <v>683</v>
      </c>
      <c r="C47" s="170" t="s">
        <v>375</v>
      </c>
      <c r="D47" s="170" t="s">
        <v>682</v>
      </c>
      <c r="E47" s="170"/>
      <c r="F47" s="170" t="s">
        <v>740</v>
      </c>
      <c r="G47" s="170" t="s">
        <v>373</v>
      </c>
      <c r="H47" s="169" t="s">
        <v>372</v>
      </c>
      <c r="I47" s="168">
        <v>-3757.01</v>
      </c>
      <c r="J47" s="168">
        <v>530833.30000000005</v>
      </c>
    </row>
    <row r="48" spans="2:10" hidden="1" x14ac:dyDescent="0.45">
      <c r="B48" s="170" t="s">
        <v>683</v>
      </c>
      <c r="C48" s="170" t="s">
        <v>375</v>
      </c>
      <c r="D48" s="170" t="s">
        <v>682</v>
      </c>
      <c r="E48" s="170"/>
      <c r="F48" s="170" t="s">
        <v>377</v>
      </c>
      <c r="G48" s="170" t="s">
        <v>373</v>
      </c>
      <c r="H48" s="169" t="s">
        <v>372</v>
      </c>
      <c r="I48" s="168">
        <v>64593.32</v>
      </c>
      <c r="J48" s="168">
        <v>595426.62</v>
      </c>
    </row>
    <row r="49" spans="2:10" hidden="1" x14ac:dyDescent="0.45">
      <c r="B49" s="170" t="s">
        <v>683</v>
      </c>
      <c r="C49" s="170" t="s">
        <v>375</v>
      </c>
      <c r="D49" s="170" t="s">
        <v>682</v>
      </c>
      <c r="E49" s="170"/>
      <c r="F49" s="170" t="s">
        <v>378</v>
      </c>
      <c r="G49" s="170" t="s">
        <v>373</v>
      </c>
      <c r="H49" s="169" t="s">
        <v>372</v>
      </c>
      <c r="I49" s="168">
        <v>253.3</v>
      </c>
      <c r="J49" s="168">
        <v>595679.92000000004</v>
      </c>
    </row>
    <row r="50" spans="2:10" hidden="1" x14ac:dyDescent="0.45">
      <c r="B50" s="170" t="s">
        <v>683</v>
      </c>
      <c r="C50" s="170" t="s">
        <v>375</v>
      </c>
      <c r="D50" s="170" t="s">
        <v>682</v>
      </c>
      <c r="E50" s="170"/>
      <c r="F50" s="170" t="s">
        <v>374</v>
      </c>
      <c r="G50" s="170" t="s">
        <v>373</v>
      </c>
      <c r="H50" s="169" t="s">
        <v>372</v>
      </c>
      <c r="I50" s="168">
        <v>-253.3</v>
      </c>
      <c r="J50" s="168">
        <v>595426.62</v>
      </c>
    </row>
    <row r="51" spans="2:10" hidden="1" x14ac:dyDescent="0.45">
      <c r="B51" s="170" t="s">
        <v>681</v>
      </c>
      <c r="C51" s="170" t="s">
        <v>375</v>
      </c>
      <c r="D51" s="170" t="s">
        <v>680</v>
      </c>
      <c r="E51" s="170"/>
      <c r="F51" s="170" t="s">
        <v>740</v>
      </c>
      <c r="G51" s="170" t="s">
        <v>373</v>
      </c>
      <c r="H51" s="169" t="s">
        <v>372</v>
      </c>
      <c r="I51" s="168">
        <v>-3767.79</v>
      </c>
      <c r="J51" s="168">
        <v>591658.82999999996</v>
      </c>
    </row>
    <row r="52" spans="2:10" hidden="1" x14ac:dyDescent="0.45">
      <c r="B52" s="170" t="s">
        <v>681</v>
      </c>
      <c r="C52" s="170" t="s">
        <v>375</v>
      </c>
      <c r="D52" s="170" t="s">
        <v>680</v>
      </c>
      <c r="E52" s="170"/>
      <c r="F52" s="170" t="s">
        <v>377</v>
      </c>
      <c r="G52" s="170" t="s">
        <v>373</v>
      </c>
      <c r="H52" s="169" t="s">
        <v>372</v>
      </c>
      <c r="I52" s="168">
        <v>64134.32</v>
      </c>
      <c r="J52" s="168">
        <v>655793.15</v>
      </c>
    </row>
    <row r="53" spans="2:10" hidden="1" x14ac:dyDescent="0.45">
      <c r="B53" s="170" t="s">
        <v>681</v>
      </c>
      <c r="C53" s="170" t="s">
        <v>375</v>
      </c>
      <c r="D53" s="170" t="s">
        <v>680</v>
      </c>
      <c r="E53" s="170"/>
      <c r="F53" s="170" t="s">
        <v>378</v>
      </c>
      <c r="G53" s="170" t="s">
        <v>373</v>
      </c>
      <c r="H53" s="169" t="s">
        <v>372</v>
      </c>
      <c r="I53" s="168">
        <v>254.55</v>
      </c>
      <c r="J53" s="168">
        <v>656047.69999999995</v>
      </c>
    </row>
    <row r="54" spans="2:10" hidden="1" x14ac:dyDescent="0.45">
      <c r="B54" s="170" t="s">
        <v>681</v>
      </c>
      <c r="C54" s="170" t="s">
        <v>375</v>
      </c>
      <c r="D54" s="170" t="s">
        <v>680</v>
      </c>
      <c r="E54" s="170"/>
      <c r="F54" s="170" t="s">
        <v>374</v>
      </c>
      <c r="G54" s="170" t="s">
        <v>373</v>
      </c>
      <c r="H54" s="169" t="s">
        <v>372</v>
      </c>
      <c r="I54" s="168">
        <v>-254.55</v>
      </c>
      <c r="J54" s="168">
        <v>655793.15</v>
      </c>
    </row>
    <row r="55" spans="2:10" hidden="1" x14ac:dyDescent="0.45">
      <c r="B55" s="170" t="s">
        <v>677</v>
      </c>
      <c r="C55" s="170" t="s">
        <v>375</v>
      </c>
      <c r="D55" s="170" t="s">
        <v>679</v>
      </c>
      <c r="E55" s="170"/>
      <c r="F55" s="170" t="s">
        <v>740</v>
      </c>
      <c r="G55" s="170" t="s">
        <v>373</v>
      </c>
      <c r="H55" s="169" t="s">
        <v>372</v>
      </c>
      <c r="I55" s="168">
        <v>-3767.79</v>
      </c>
      <c r="J55" s="168">
        <v>652025.36</v>
      </c>
    </row>
    <row r="56" spans="2:10" hidden="1" x14ac:dyDescent="0.45">
      <c r="B56" s="170" t="s">
        <v>677</v>
      </c>
      <c r="C56" s="170" t="s">
        <v>375</v>
      </c>
      <c r="D56" s="170" t="s">
        <v>679</v>
      </c>
      <c r="E56" s="170"/>
      <c r="F56" s="170" t="s">
        <v>377</v>
      </c>
      <c r="G56" s="170" t="s">
        <v>373</v>
      </c>
      <c r="H56" s="169" t="s">
        <v>372</v>
      </c>
      <c r="I56" s="168">
        <v>62953.79</v>
      </c>
      <c r="J56" s="168">
        <v>714979.15</v>
      </c>
    </row>
    <row r="57" spans="2:10" hidden="1" x14ac:dyDescent="0.45">
      <c r="B57" s="170" t="s">
        <v>677</v>
      </c>
      <c r="C57" s="170" t="s">
        <v>375</v>
      </c>
      <c r="D57" s="170" t="s">
        <v>679</v>
      </c>
      <c r="E57" s="170"/>
      <c r="F57" s="170" t="s">
        <v>378</v>
      </c>
      <c r="G57" s="170" t="s">
        <v>373</v>
      </c>
      <c r="H57" s="169" t="s">
        <v>372</v>
      </c>
      <c r="I57" s="168">
        <v>252.57</v>
      </c>
      <c r="J57" s="168">
        <v>715231.72</v>
      </c>
    </row>
    <row r="58" spans="2:10" hidden="1" x14ac:dyDescent="0.45">
      <c r="B58" s="170" t="s">
        <v>677</v>
      </c>
      <c r="C58" s="170" t="s">
        <v>375</v>
      </c>
      <c r="D58" s="170" t="s">
        <v>679</v>
      </c>
      <c r="E58" s="170"/>
      <c r="F58" s="170" t="s">
        <v>374</v>
      </c>
      <c r="G58" s="170" t="s">
        <v>373</v>
      </c>
      <c r="H58" s="169" t="s">
        <v>372</v>
      </c>
      <c r="I58" s="168">
        <v>-252.57</v>
      </c>
      <c r="J58" s="168">
        <v>714979.15</v>
      </c>
    </row>
    <row r="59" spans="2:10" hidden="1" x14ac:dyDescent="0.45">
      <c r="B59" s="170" t="s">
        <v>675</v>
      </c>
      <c r="C59" s="170" t="s">
        <v>375</v>
      </c>
      <c r="D59" s="170" t="s">
        <v>674</v>
      </c>
      <c r="E59" s="170"/>
      <c r="F59" s="170" t="s">
        <v>740</v>
      </c>
      <c r="G59" s="170" t="s">
        <v>373</v>
      </c>
      <c r="H59" s="169" t="s">
        <v>372</v>
      </c>
      <c r="I59" s="168">
        <v>-3767.79</v>
      </c>
      <c r="J59" s="168">
        <v>711211.36</v>
      </c>
    </row>
    <row r="60" spans="2:10" hidden="1" x14ac:dyDescent="0.45">
      <c r="B60" s="170" t="s">
        <v>675</v>
      </c>
      <c r="C60" s="170" t="s">
        <v>375</v>
      </c>
      <c r="D60" s="170" t="s">
        <v>674</v>
      </c>
      <c r="E60" s="170"/>
      <c r="F60" s="170" t="s">
        <v>377</v>
      </c>
      <c r="G60" s="170" t="s">
        <v>373</v>
      </c>
      <c r="H60" s="169" t="s">
        <v>372</v>
      </c>
      <c r="I60" s="168">
        <v>69770.55</v>
      </c>
      <c r="J60" s="168">
        <v>780981.91</v>
      </c>
    </row>
    <row r="61" spans="2:10" hidden="1" x14ac:dyDescent="0.45">
      <c r="B61" s="170" t="s">
        <v>675</v>
      </c>
      <c r="C61" s="170" t="s">
        <v>375</v>
      </c>
      <c r="D61" s="170" t="s">
        <v>674</v>
      </c>
      <c r="E61" s="170"/>
      <c r="F61" s="170" t="s">
        <v>378</v>
      </c>
      <c r="G61" s="170" t="s">
        <v>373</v>
      </c>
      <c r="H61" s="169" t="s">
        <v>372</v>
      </c>
      <c r="I61" s="168">
        <v>213.54</v>
      </c>
      <c r="J61" s="168">
        <v>781195.45</v>
      </c>
    </row>
    <row r="62" spans="2:10" hidden="1" x14ac:dyDescent="0.45">
      <c r="B62" s="170" t="s">
        <v>675</v>
      </c>
      <c r="C62" s="170" t="s">
        <v>375</v>
      </c>
      <c r="D62" s="170" t="s">
        <v>674</v>
      </c>
      <c r="E62" s="170"/>
      <c r="F62" s="170" t="s">
        <v>374</v>
      </c>
      <c r="G62" s="170" t="s">
        <v>373</v>
      </c>
      <c r="H62" s="169" t="s">
        <v>372</v>
      </c>
      <c r="I62" s="168">
        <v>-213.54</v>
      </c>
      <c r="J62" s="168">
        <v>780981.91</v>
      </c>
    </row>
    <row r="63" spans="2:10" hidden="1" x14ac:dyDescent="0.45">
      <c r="B63" s="170" t="s">
        <v>673</v>
      </c>
      <c r="C63" s="170" t="s">
        <v>375</v>
      </c>
      <c r="D63" s="170" t="s">
        <v>672</v>
      </c>
      <c r="E63" s="170"/>
      <c r="F63" s="170" t="s">
        <v>740</v>
      </c>
      <c r="G63" s="170" t="s">
        <v>373</v>
      </c>
      <c r="H63" s="169" t="s">
        <v>372</v>
      </c>
      <c r="I63" s="168">
        <v>-3767.79</v>
      </c>
      <c r="J63" s="168">
        <v>777214.12</v>
      </c>
    </row>
    <row r="64" spans="2:10" hidden="1" x14ac:dyDescent="0.45">
      <c r="B64" s="170" t="s">
        <v>673</v>
      </c>
      <c r="C64" s="170" t="s">
        <v>375</v>
      </c>
      <c r="D64" s="170" t="s">
        <v>672</v>
      </c>
      <c r="E64" s="170"/>
      <c r="F64" s="170" t="s">
        <v>377</v>
      </c>
      <c r="G64" s="170" t="s">
        <v>373</v>
      </c>
      <c r="H64" s="169" t="s">
        <v>372</v>
      </c>
      <c r="I64" s="168">
        <v>52147.64</v>
      </c>
      <c r="J64" s="168">
        <v>829361.76</v>
      </c>
    </row>
    <row r="65" spans="1:10" hidden="1" x14ac:dyDescent="0.45">
      <c r="B65" s="170" t="s">
        <v>673</v>
      </c>
      <c r="C65" s="170" t="s">
        <v>375</v>
      </c>
      <c r="D65" s="170" t="s">
        <v>672</v>
      </c>
      <c r="E65" s="170"/>
      <c r="F65" s="170" t="s">
        <v>378</v>
      </c>
      <c r="G65" s="170" t="s">
        <v>373</v>
      </c>
      <c r="H65" s="169" t="s">
        <v>372</v>
      </c>
      <c r="I65" s="168">
        <v>213.54</v>
      </c>
      <c r="J65" s="168">
        <v>829575.3</v>
      </c>
    </row>
    <row r="66" spans="1:10" hidden="1" x14ac:dyDescent="0.45">
      <c r="B66" s="170" t="s">
        <v>673</v>
      </c>
      <c r="C66" s="170" t="s">
        <v>375</v>
      </c>
      <c r="D66" s="170" t="s">
        <v>672</v>
      </c>
      <c r="E66" s="170"/>
      <c r="F66" s="170" t="s">
        <v>374</v>
      </c>
      <c r="G66" s="170" t="s">
        <v>373</v>
      </c>
      <c r="H66" s="169" t="s">
        <v>372</v>
      </c>
      <c r="I66" s="168">
        <v>-213.54</v>
      </c>
      <c r="J66" s="168">
        <v>829361.76</v>
      </c>
    </row>
    <row r="67" spans="1:10" hidden="1" x14ac:dyDescent="0.45">
      <c r="B67" s="170" t="s">
        <v>668</v>
      </c>
      <c r="C67" s="170" t="s">
        <v>375</v>
      </c>
      <c r="D67" s="170" t="s">
        <v>667</v>
      </c>
      <c r="E67" s="170"/>
      <c r="F67" s="170" t="s">
        <v>740</v>
      </c>
      <c r="G67" s="170" t="s">
        <v>373</v>
      </c>
      <c r="H67" s="169" t="s">
        <v>372</v>
      </c>
      <c r="I67" s="168">
        <v>-3767.79</v>
      </c>
      <c r="J67" s="168">
        <v>825593.97</v>
      </c>
    </row>
    <row r="68" spans="1:10" hidden="1" x14ac:dyDescent="0.45">
      <c r="B68" s="170" t="s">
        <v>668</v>
      </c>
      <c r="C68" s="170" t="s">
        <v>375</v>
      </c>
      <c r="D68" s="170" t="s">
        <v>667</v>
      </c>
      <c r="E68" s="170"/>
      <c r="F68" s="170" t="s">
        <v>377</v>
      </c>
      <c r="G68" s="170" t="s">
        <v>373</v>
      </c>
      <c r="H68" s="169" t="s">
        <v>372</v>
      </c>
      <c r="I68" s="168">
        <v>51954.65</v>
      </c>
      <c r="J68" s="168">
        <v>877548.62</v>
      </c>
    </row>
    <row r="69" spans="1:10" hidden="1" x14ac:dyDescent="0.45">
      <c r="B69" s="170" t="s">
        <v>668</v>
      </c>
      <c r="C69" s="170" t="s">
        <v>375</v>
      </c>
      <c r="D69" s="170" t="s">
        <v>667</v>
      </c>
      <c r="E69" s="170"/>
      <c r="F69" s="170" t="s">
        <v>378</v>
      </c>
      <c r="G69" s="170" t="s">
        <v>373</v>
      </c>
      <c r="H69" s="169" t="s">
        <v>372</v>
      </c>
      <c r="I69" s="168">
        <v>213.75</v>
      </c>
      <c r="J69" s="168">
        <v>877762.37</v>
      </c>
    </row>
    <row r="70" spans="1:10" hidden="1" x14ac:dyDescent="0.45">
      <c r="B70" s="170" t="s">
        <v>668</v>
      </c>
      <c r="C70" s="170" t="s">
        <v>375</v>
      </c>
      <c r="D70" s="170" t="s">
        <v>667</v>
      </c>
      <c r="E70" s="170"/>
      <c r="F70" s="170" t="s">
        <v>374</v>
      </c>
      <c r="G70" s="170" t="s">
        <v>373</v>
      </c>
      <c r="H70" s="169" t="s">
        <v>372</v>
      </c>
      <c r="I70" s="168">
        <v>-213.75</v>
      </c>
      <c r="J70" s="168">
        <v>877548.62</v>
      </c>
    </row>
    <row r="71" spans="1:10" hidden="1" x14ac:dyDescent="0.45">
      <c r="B71" s="170" t="s">
        <v>744</v>
      </c>
      <c r="C71" s="170" t="s">
        <v>405</v>
      </c>
      <c r="D71" s="170" t="s">
        <v>743</v>
      </c>
      <c r="E71" s="170" t="s">
        <v>742</v>
      </c>
      <c r="F71" s="170" t="s">
        <v>741</v>
      </c>
      <c r="G71" s="170" t="s">
        <v>373</v>
      </c>
      <c r="H71" s="170" t="s">
        <v>403</v>
      </c>
      <c r="I71" s="168">
        <v>500.99</v>
      </c>
      <c r="J71" s="168">
        <v>878049.61</v>
      </c>
    </row>
    <row r="72" spans="1:10" hidden="1" x14ac:dyDescent="0.45">
      <c r="B72" s="170" t="s">
        <v>661</v>
      </c>
      <c r="C72" s="170" t="s">
        <v>375</v>
      </c>
      <c r="D72" s="170" t="s">
        <v>660</v>
      </c>
      <c r="E72" s="170"/>
      <c r="F72" s="170" t="s">
        <v>740</v>
      </c>
      <c r="G72" s="170" t="s">
        <v>373</v>
      </c>
      <c r="H72" s="169" t="s">
        <v>372</v>
      </c>
      <c r="I72" s="168">
        <v>-4518.96</v>
      </c>
      <c r="J72" s="168">
        <v>873530.65</v>
      </c>
    </row>
    <row r="73" spans="1:10" hidden="1" x14ac:dyDescent="0.45">
      <c r="B73" s="170" t="s">
        <v>661</v>
      </c>
      <c r="C73" s="170" t="s">
        <v>375</v>
      </c>
      <c r="D73" s="170" t="s">
        <v>660</v>
      </c>
      <c r="E73" s="170"/>
      <c r="F73" s="170" t="s">
        <v>377</v>
      </c>
      <c r="G73" s="170" t="s">
        <v>373</v>
      </c>
      <c r="H73" s="169" t="s">
        <v>372</v>
      </c>
      <c r="I73" s="168">
        <v>62455.38</v>
      </c>
      <c r="J73" s="168">
        <v>935986.03</v>
      </c>
    </row>
    <row r="74" spans="1:10" hidden="1" x14ac:dyDescent="0.45">
      <c r="B74" s="170" t="s">
        <v>661</v>
      </c>
      <c r="C74" s="170" t="s">
        <v>375</v>
      </c>
      <c r="D74" s="170" t="s">
        <v>660</v>
      </c>
      <c r="E74" s="170"/>
      <c r="F74" s="170" t="s">
        <v>378</v>
      </c>
      <c r="G74" s="170" t="s">
        <v>373</v>
      </c>
      <c r="H74" s="169" t="s">
        <v>372</v>
      </c>
      <c r="I74" s="168">
        <v>226.86</v>
      </c>
      <c r="J74" s="168">
        <v>936212.89</v>
      </c>
    </row>
    <row r="75" spans="1:10" hidden="1" x14ac:dyDescent="0.45">
      <c r="B75" s="170" t="s">
        <v>661</v>
      </c>
      <c r="C75" s="170" t="s">
        <v>375</v>
      </c>
      <c r="D75" s="170" t="s">
        <v>660</v>
      </c>
      <c r="E75" s="170"/>
      <c r="F75" s="170" t="s">
        <v>374</v>
      </c>
      <c r="G75" s="170" t="s">
        <v>373</v>
      </c>
      <c r="H75" s="169" t="s">
        <v>372</v>
      </c>
      <c r="I75" s="168">
        <v>-226.86</v>
      </c>
      <c r="J75" s="168">
        <v>935986.03</v>
      </c>
    </row>
    <row r="76" spans="1:10" hidden="1" x14ac:dyDescent="0.45">
      <c r="A76" s="167" t="s">
        <v>309</v>
      </c>
      <c r="I76" s="166">
        <v>935986.03</v>
      </c>
    </row>
    <row r="77" spans="1:10" hidden="1" x14ac:dyDescent="0.45"/>
    <row r="78" spans="1:10" hidden="1" x14ac:dyDescent="0.45"/>
    <row r="79" spans="1:10" hidden="1" x14ac:dyDescent="0.45">
      <c r="A79" s="449" t="s">
        <v>739</v>
      </c>
      <c r="B79" s="450"/>
      <c r="C79" s="450"/>
      <c r="D79" s="450"/>
      <c r="E79" s="450"/>
      <c r="F79" s="450"/>
      <c r="G79" s="450"/>
      <c r="H79" s="450"/>
      <c r="I79" s="450"/>
      <c r="J79" s="450"/>
    </row>
    <row r="80" spans="1:10" hidden="1" x14ac:dyDescent="0.45"/>
    <row r="82" spans="5:7" x14ac:dyDescent="0.45">
      <c r="F82" s="204" t="s">
        <v>738</v>
      </c>
      <c r="G82" s="206">
        <f>I76</f>
        <v>935986.03</v>
      </c>
    </row>
    <row r="84" spans="5:7" x14ac:dyDescent="0.45">
      <c r="F84" s="108" t="s">
        <v>737</v>
      </c>
      <c r="G84" s="202">
        <v>62455.38</v>
      </c>
    </row>
    <row r="85" spans="5:7" x14ac:dyDescent="0.45">
      <c r="F85" s="163"/>
      <c r="G85" s="205"/>
    </row>
    <row r="86" spans="5:7" x14ac:dyDescent="0.45">
      <c r="F86" s="201" t="s">
        <v>656</v>
      </c>
      <c r="G86" s="165"/>
    </row>
    <row r="87" spans="5:7" x14ac:dyDescent="0.45">
      <c r="F87" s="108" t="s">
        <v>736</v>
      </c>
      <c r="G87" s="165">
        <f>139313/26</f>
        <v>5358.1923076923076</v>
      </c>
    </row>
    <row r="88" spans="5:7" x14ac:dyDescent="0.45">
      <c r="F88" s="108" t="s">
        <v>735</v>
      </c>
      <c r="G88" s="165">
        <f>78195/26</f>
        <v>3007.5</v>
      </c>
    </row>
    <row r="89" spans="5:7" x14ac:dyDescent="0.45">
      <c r="E89" s="209" t="s">
        <v>764</v>
      </c>
      <c r="F89" s="108" t="s">
        <v>734</v>
      </c>
      <c r="G89" s="165">
        <f>199418/26</f>
        <v>7669.9230769230771</v>
      </c>
    </row>
    <row r="90" spans="5:7" x14ac:dyDescent="0.45">
      <c r="G90" s="165"/>
    </row>
    <row r="91" spans="5:7" x14ac:dyDescent="0.45">
      <c r="F91" s="204" t="s">
        <v>733</v>
      </c>
      <c r="G91" s="203">
        <f>G82+(G84*11)+((SUM(G87:G89)*9))</f>
        <v>1767315.7484615385</v>
      </c>
    </row>
    <row r="92" spans="5:7" x14ac:dyDescent="0.45">
      <c r="G92" s="202"/>
    </row>
    <row r="93" spans="5:7" x14ac:dyDescent="0.45">
      <c r="F93" s="108" t="s">
        <v>649</v>
      </c>
      <c r="G93" s="165">
        <f>G91*0.03</f>
        <v>53019.472453846152</v>
      </c>
    </row>
    <row r="94" spans="5:7" ht="14.65" thickBot="1" x14ac:dyDescent="0.5">
      <c r="G94" s="165"/>
    </row>
    <row r="95" spans="5:7" ht="14.65" thickBot="1" x14ac:dyDescent="0.5">
      <c r="F95" s="200" t="s">
        <v>732</v>
      </c>
      <c r="G95" s="199">
        <f>G91+G93</f>
        <v>1820335.2209153846</v>
      </c>
    </row>
    <row r="97" spans="6:7" x14ac:dyDescent="0.45">
      <c r="F97" s="201" t="s">
        <v>647</v>
      </c>
    </row>
    <row r="98" spans="6:7" x14ac:dyDescent="0.45">
      <c r="F98" s="108" t="s">
        <v>731</v>
      </c>
      <c r="G98" s="165">
        <v>84253</v>
      </c>
    </row>
    <row r="100" spans="6:7" x14ac:dyDescent="0.45">
      <c r="F100" s="108" t="s">
        <v>730</v>
      </c>
      <c r="G100" s="164">
        <f>SUM(G95:G98)</f>
        <v>1904588.2209153846</v>
      </c>
    </row>
    <row r="102" spans="6:7" x14ac:dyDescent="0.45">
      <c r="F102" s="108" t="s">
        <v>643</v>
      </c>
      <c r="G102" s="165">
        <f>G100*0.02</f>
        <v>38091.764418307692</v>
      </c>
    </row>
    <row r="103" spans="6:7" ht="14.65" thickBot="1" x14ac:dyDescent="0.5"/>
    <row r="104" spans="6:7" ht="14.65" thickBot="1" x14ac:dyDescent="0.5">
      <c r="F104" s="200" t="s">
        <v>730</v>
      </c>
      <c r="G104" s="199">
        <f>G100+G102</f>
        <v>1942679.9853336923</v>
      </c>
    </row>
    <row r="106" spans="6:7" x14ac:dyDescent="0.45">
      <c r="F106" s="108" t="s">
        <v>643</v>
      </c>
      <c r="G106" s="165">
        <f>G104*0.02</f>
        <v>38853.599706673849</v>
      </c>
    </row>
    <row r="107" spans="6:7" ht="14.65" thickBot="1" x14ac:dyDescent="0.5"/>
    <row r="108" spans="6:7" ht="14.65" thickBot="1" x14ac:dyDescent="0.5">
      <c r="F108" s="200" t="s">
        <v>729</v>
      </c>
      <c r="G108" s="199">
        <f>G104+G106</f>
        <v>1981533.585040366</v>
      </c>
    </row>
  </sheetData>
  <mergeCells count="4">
    <mergeCell ref="A79:J79"/>
    <mergeCell ref="A1:J1"/>
    <mergeCell ref="A2:J2"/>
    <mergeCell ref="A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4A315-19CD-49EF-AC9B-BA3F68705FAF}">
  <dimension ref="A1:J191"/>
  <sheetViews>
    <sheetView topLeftCell="A158" workbookViewId="0">
      <selection activeCell="F9" sqref="F9"/>
    </sheetView>
  </sheetViews>
  <sheetFormatPr defaultColWidth="9.06640625" defaultRowHeight="14.25" x14ac:dyDescent="0.45"/>
  <cols>
    <col min="1" max="1" width="7.73046875" style="108" customWidth="1"/>
    <col min="2" max="2" width="9.46484375" style="108" customWidth="1"/>
    <col min="3" max="3" width="12" style="108" customWidth="1"/>
    <col min="4" max="4" width="7.73046875" style="108" customWidth="1"/>
    <col min="5" max="5" width="25.796875" style="108" customWidth="1"/>
    <col min="6" max="6" width="72.796875" style="108" bestFit="1" customWidth="1"/>
    <col min="7" max="8" width="25.796875" style="108" customWidth="1"/>
    <col min="9" max="9" width="12" style="108" customWidth="1"/>
    <col min="10" max="10" width="10.06640625" style="108" bestFit="1" customWidth="1"/>
    <col min="11" max="16384" width="9.06640625" style="108"/>
  </cols>
  <sheetData>
    <row r="1" spans="1:10" ht="17.649999999999999" hidden="1" x14ac:dyDescent="0.5">
      <c r="A1" s="451" t="s">
        <v>390</v>
      </c>
      <c r="B1" s="450"/>
      <c r="C1" s="450"/>
      <c r="D1" s="450"/>
      <c r="E1" s="450"/>
      <c r="F1" s="450"/>
      <c r="G1" s="450"/>
      <c r="H1" s="450"/>
      <c r="I1" s="450"/>
      <c r="J1" s="450"/>
    </row>
    <row r="2" spans="1:10" ht="17.649999999999999" hidden="1" x14ac:dyDescent="0.5">
      <c r="A2" s="451" t="s">
        <v>389</v>
      </c>
      <c r="B2" s="450"/>
      <c r="C2" s="450"/>
      <c r="D2" s="450"/>
      <c r="E2" s="450"/>
      <c r="F2" s="450"/>
      <c r="G2" s="450"/>
      <c r="H2" s="450"/>
      <c r="I2" s="450"/>
      <c r="J2" s="450"/>
    </row>
    <row r="3" spans="1:10" hidden="1" x14ac:dyDescent="0.45">
      <c r="A3" s="452" t="s">
        <v>727</v>
      </c>
      <c r="B3" s="450"/>
      <c r="C3" s="450"/>
      <c r="D3" s="450"/>
      <c r="E3" s="450"/>
      <c r="F3" s="450"/>
      <c r="G3" s="450"/>
      <c r="H3" s="450"/>
      <c r="I3" s="450"/>
      <c r="J3" s="450"/>
    </row>
    <row r="4" spans="1:10" hidden="1" x14ac:dyDescent="0.45"/>
    <row r="5" spans="1:10" ht="24" hidden="1" x14ac:dyDescent="0.45">
      <c r="B5" s="171" t="s">
        <v>388</v>
      </c>
      <c r="C5" s="171" t="s">
        <v>387</v>
      </c>
      <c r="D5" s="171" t="s">
        <v>386</v>
      </c>
      <c r="E5" s="171" t="s">
        <v>385</v>
      </c>
      <c r="F5" s="171" t="s">
        <v>384</v>
      </c>
      <c r="G5" s="171" t="s">
        <v>383</v>
      </c>
      <c r="H5" s="171" t="s">
        <v>382</v>
      </c>
      <c r="I5" s="171" t="s">
        <v>381</v>
      </c>
      <c r="J5" s="171" t="s">
        <v>380</v>
      </c>
    </row>
    <row r="6" spans="1:10" hidden="1" x14ac:dyDescent="0.45">
      <c r="B6" s="170" t="s">
        <v>726</v>
      </c>
      <c r="C6" s="170" t="s">
        <v>396</v>
      </c>
      <c r="D6" s="170"/>
      <c r="E6" s="170" t="s">
        <v>395</v>
      </c>
      <c r="F6" s="170" t="s">
        <v>725</v>
      </c>
      <c r="G6" s="170" t="s">
        <v>394</v>
      </c>
      <c r="H6" s="170" t="s">
        <v>393</v>
      </c>
      <c r="I6" s="168">
        <v>2657.43</v>
      </c>
      <c r="J6" s="168">
        <v>2657.43</v>
      </c>
    </row>
    <row r="7" spans="1:10" hidden="1" x14ac:dyDescent="0.45">
      <c r="B7" s="170" t="s">
        <v>724</v>
      </c>
      <c r="C7" s="170" t="s">
        <v>375</v>
      </c>
      <c r="D7" s="170" t="s">
        <v>723</v>
      </c>
      <c r="E7" s="170"/>
      <c r="F7" s="170" t="s">
        <v>401</v>
      </c>
      <c r="G7" s="170" t="s">
        <v>394</v>
      </c>
      <c r="H7" s="169" t="s">
        <v>372</v>
      </c>
      <c r="I7" s="168">
        <v>-12758.3</v>
      </c>
      <c r="J7" s="168">
        <v>-10100.870000000001</v>
      </c>
    </row>
    <row r="8" spans="1:10" hidden="1" x14ac:dyDescent="0.45">
      <c r="B8" s="170" t="s">
        <v>724</v>
      </c>
      <c r="C8" s="170" t="s">
        <v>375</v>
      </c>
      <c r="D8" s="170" t="s">
        <v>723</v>
      </c>
      <c r="E8" s="170"/>
      <c r="F8" s="170" t="s">
        <v>400</v>
      </c>
      <c r="G8" s="170" t="s">
        <v>394</v>
      </c>
      <c r="H8" s="169" t="s">
        <v>372</v>
      </c>
      <c r="I8" s="168">
        <v>-430.87</v>
      </c>
      <c r="J8" s="168">
        <v>-10531.74</v>
      </c>
    </row>
    <row r="9" spans="1:10" hidden="1" x14ac:dyDescent="0.45">
      <c r="B9" s="170" t="s">
        <v>724</v>
      </c>
      <c r="C9" s="170" t="s">
        <v>375</v>
      </c>
      <c r="D9" s="170" t="s">
        <v>723</v>
      </c>
      <c r="E9" s="170"/>
      <c r="F9" s="170" t="s">
        <v>399</v>
      </c>
      <c r="G9" s="170" t="s">
        <v>394</v>
      </c>
      <c r="H9" s="169" t="s">
        <v>372</v>
      </c>
      <c r="I9" s="168">
        <v>-824.29</v>
      </c>
      <c r="J9" s="168">
        <v>-11356.03</v>
      </c>
    </row>
    <row r="10" spans="1:10" hidden="1" x14ac:dyDescent="0.45">
      <c r="B10" s="170" t="s">
        <v>724</v>
      </c>
      <c r="C10" s="170" t="s">
        <v>375</v>
      </c>
      <c r="D10" s="170" t="s">
        <v>723</v>
      </c>
      <c r="E10" s="170"/>
      <c r="F10" s="170" t="s">
        <v>402</v>
      </c>
      <c r="G10" s="170" t="s">
        <v>394</v>
      </c>
      <c r="H10" s="169" t="s">
        <v>372</v>
      </c>
      <c r="I10" s="168">
        <v>217451.27</v>
      </c>
      <c r="J10" s="168">
        <v>206095.24</v>
      </c>
    </row>
    <row r="11" spans="1:10" hidden="1" x14ac:dyDescent="0.45">
      <c r="B11" s="170" t="s">
        <v>724</v>
      </c>
      <c r="C11" s="170" t="s">
        <v>375</v>
      </c>
      <c r="D11" s="170" t="s">
        <v>723</v>
      </c>
      <c r="E11" s="170"/>
      <c r="F11" s="170" t="s">
        <v>398</v>
      </c>
      <c r="G11" s="170" t="s">
        <v>394</v>
      </c>
      <c r="H11" s="169" t="s">
        <v>372</v>
      </c>
      <c r="I11" s="168">
        <v>-2437.5700000000002</v>
      </c>
      <c r="J11" s="168">
        <v>203657.67</v>
      </c>
    </row>
    <row r="12" spans="1:10" hidden="1" x14ac:dyDescent="0.45">
      <c r="B12" s="170" t="s">
        <v>724</v>
      </c>
      <c r="C12" s="170" t="s">
        <v>375</v>
      </c>
      <c r="D12" s="170" t="s">
        <v>723</v>
      </c>
      <c r="E12" s="170"/>
      <c r="F12" s="170" t="s">
        <v>378</v>
      </c>
      <c r="G12" s="170" t="s">
        <v>394</v>
      </c>
      <c r="H12" s="169" t="s">
        <v>372</v>
      </c>
      <c r="I12" s="168">
        <v>833.36</v>
      </c>
      <c r="J12" s="168">
        <v>204491.03</v>
      </c>
    </row>
    <row r="13" spans="1:10" hidden="1" x14ac:dyDescent="0.45">
      <c r="B13" s="170" t="s">
        <v>724</v>
      </c>
      <c r="C13" s="170" t="s">
        <v>375</v>
      </c>
      <c r="D13" s="170" t="s">
        <v>723</v>
      </c>
      <c r="E13" s="170"/>
      <c r="F13" s="170" t="s">
        <v>374</v>
      </c>
      <c r="G13" s="170" t="s">
        <v>394</v>
      </c>
      <c r="H13" s="169" t="s">
        <v>372</v>
      </c>
      <c r="I13" s="168">
        <v>-833.36</v>
      </c>
      <c r="J13" s="168">
        <v>203657.67</v>
      </c>
    </row>
    <row r="14" spans="1:10" hidden="1" x14ac:dyDescent="0.45">
      <c r="B14" s="170" t="s">
        <v>722</v>
      </c>
      <c r="C14" s="170" t="s">
        <v>375</v>
      </c>
      <c r="D14" s="170" t="s">
        <v>721</v>
      </c>
      <c r="E14" s="170"/>
      <c r="F14" s="170" t="s">
        <v>401</v>
      </c>
      <c r="G14" s="170" t="s">
        <v>394</v>
      </c>
      <c r="H14" s="169" t="s">
        <v>372</v>
      </c>
      <c r="I14" s="168">
        <v>-14370.6</v>
      </c>
      <c r="J14" s="168">
        <v>189287.07</v>
      </c>
    </row>
    <row r="15" spans="1:10" hidden="1" x14ac:dyDescent="0.45">
      <c r="B15" s="170" t="s">
        <v>722</v>
      </c>
      <c r="C15" s="170" t="s">
        <v>375</v>
      </c>
      <c r="D15" s="170" t="s">
        <v>721</v>
      </c>
      <c r="E15" s="170"/>
      <c r="F15" s="170" t="s">
        <v>400</v>
      </c>
      <c r="G15" s="170" t="s">
        <v>394</v>
      </c>
      <c r="H15" s="169" t="s">
        <v>372</v>
      </c>
      <c r="I15" s="168">
        <v>-430.87</v>
      </c>
      <c r="J15" s="168">
        <v>188856.2</v>
      </c>
    </row>
    <row r="16" spans="1:10" hidden="1" x14ac:dyDescent="0.45">
      <c r="B16" s="170" t="s">
        <v>722</v>
      </c>
      <c r="C16" s="170" t="s">
        <v>375</v>
      </c>
      <c r="D16" s="170" t="s">
        <v>721</v>
      </c>
      <c r="E16" s="170"/>
      <c r="F16" s="170" t="s">
        <v>399</v>
      </c>
      <c r="G16" s="170" t="s">
        <v>394</v>
      </c>
      <c r="H16" s="169" t="s">
        <v>372</v>
      </c>
      <c r="I16" s="168">
        <v>-824.29</v>
      </c>
      <c r="J16" s="168">
        <v>188031.91</v>
      </c>
    </row>
    <row r="17" spans="2:10" hidden="1" x14ac:dyDescent="0.45">
      <c r="B17" s="170" t="s">
        <v>722</v>
      </c>
      <c r="C17" s="170" t="s">
        <v>375</v>
      </c>
      <c r="D17" s="170" t="s">
        <v>721</v>
      </c>
      <c r="E17" s="170"/>
      <c r="F17" s="170" t="s">
        <v>402</v>
      </c>
      <c r="G17" s="170" t="s">
        <v>394</v>
      </c>
      <c r="H17" s="169" t="s">
        <v>372</v>
      </c>
      <c r="I17" s="168">
        <v>243273.52</v>
      </c>
      <c r="J17" s="168">
        <v>431305.43</v>
      </c>
    </row>
    <row r="18" spans="2:10" hidden="1" x14ac:dyDescent="0.45">
      <c r="B18" s="170" t="s">
        <v>722</v>
      </c>
      <c r="C18" s="170" t="s">
        <v>375</v>
      </c>
      <c r="D18" s="170" t="s">
        <v>721</v>
      </c>
      <c r="E18" s="170"/>
      <c r="F18" s="170" t="s">
        <v>398</v>
      </c>
      <c r="G18" s="170" t="s">
        <v>394</v>
      </c>
      <c r="H18" s="169" t="s">
        <v>372</v>
      </c>
      <c r="I18" s="168">
        <v>-2551.7600000000002</v>
      </c>
      <c r="J18" s="168">
        <v>428753.67</v>
      </c>
    </row>
    <row r="19" spans="2:10" hidden="1" x14ac:dyDescent="0.45">
      <c r="B19" s="170" t="s">
        <v>722</v>
      </c>
      <c r="C19" s="170" t="s">
        <v>375</v>
      </c>
      <c r="D19" s="170" t="s">
        <v>721</v>
      </c>
      <c r="E19" s="170"/>
      <c r="F19" s="170" t="s">
        <v>378</v>
      </c>
      <c r="G19" s="170" t="s">
        <v>394</v>
      </c>
      <c r="H19" s="169" t="s">
        <v>372</v>
      </c>
      <c r="I19" s="168">
        <v>997.87</v>
      </c>
      <c r="J19" s="168">
        <v>429751.54</v>
      </c>
    </row>
    <row r="20" spans="2:10" hidden="1" x14ac:dyDescent="0.45">
      <c r="B20" s="170" t="s">
        <v>722</v>
      </c>
      <c r="C20" s="170" t="s">
        <v>375</v>
      </c>
      <c r="D20" s="170" t="s">
        <v>721</v>
      </c>
      <c r="E20" s="170"/>
      <c r="F20" s="170" t="s">
        <v>374</v>
      </c>
      <c r="G20" s="170" t="s">
        <v>394</v>
      </c>
      <c r="H20" s="169" t="s">
        <v>372</v>
      </c>
      <c r="I20" s="168">
        <v>-997.87</v>
      </c>
      <c r="J20" s="168">
        <v>428753.67</v>
      </c>
    </row>
    <row r="21" spans="2:10" hidden="1" x14ac:dyDescent="0.45">
      <c r="B21" s="170" t="s">
        <v>717</v>
      </c>
      <c r="C21" s="170" t="s">
        <v>396</v>
      </c>
      <c r="D21" s="170"/>
      <c r="E21" s="170" t="s">
        <v>395</v>
      </c>
      <c r="F21" s="170" t="s">
        <v>720</v>
      </c>
      <c r="G21" s="170" t="s">
        <v>394</v>
      </c>
      <c r="H21" s="170" t="s">
        <v>393</v>
      </c>
      <c r="I21" s="168">
        <v>3135.18</v>
      </c>
      <c r="J21" s="168">
        <v>431888.85</v>
      </c>
    </row>
    <row r="22" spans="2:10" hidden="1" x14ac:dyDescent="0.45">
      <c r="B22" s="170" t="s">
        <v>717</v>
      </c>
      <c r="C22" s="170" t="s">
        <v>405</v>
      </c>
      <c r="D22" s="170" t="s">
        <v>719</v>
      </c>
      <c r="E22" s="170" t="s">
        <v>404</v>
      </c>
      <c r="F22" s="170" t="s">
        <v>718</v>
      </c>
      <c r="G22" s="170" t="s">
        <v>394</v>
      </c>
      <c r="H22" s="170" t="s">
        <v>403</v>
      </c>
      <c r="I22" s="168">
        <v>2897.03</v>
      </c>
      <c r="J22" s="168">
        <v>434785.88</v>
      </c>
    </row>
    <row r="23" spans="2:10" hidden="1" x14ac:dyDescent="0.45">
      <c r="B23" s="170" t="s">
        <v>717</v>
      </c>
      <c r="C23" s="170" t="s">
        <v>405</v>
      </c>
      <c r="D23" s="170" t="s">
        <v>716</v>
      </c>
      <c r="E23" s="170" t="s">
        <v>404</v>
      </c>
      <c r="F23" s="170" t="s">
        <v>715</v>
      </c>
      <c r="G23" s="170" t="s">
        <v>394</v>
      </c>
      <c r="H23" s="170" t="s">
        <v>403</v>
      </c>
      <c r="I23" s="168">
        <v>2677.19</v>
      </c>
      <c r="J23" s="168">
        <v>437463.07</v>
      </c>
    </row>
    <row r="24" spans="2:10" hidden="1" x14ac:dyDescent="0.45">
      <c r="B24" s="170" t="s">
        <v>717</v>
      </c>
      <c r="C24" s="170" t="s">
        <v>405</v>
      </c>
      <c r="D24" s="170" t="s">
        <v>716</v>
      </c>
      <c r="E24" s="170" t="s">
        <v>406</v>
      </c>
      <c r="F24" s="170" t="s">
        <v>715</v>
      </c>
      <c r="G24" s="170" t="s">
        <v>394</v>
      </c>
      <c r="H24" s="170" t="s">
        <v>403</v>
      </c>
      <c r="I24" s="168">
        <v>1561.7</v>
      </c>
      <c r="J24" s="168">
        <v>439024.77</v>
      </c>
    </row>
    <row r="25" spans="2:10" hidden="1" x14ac:dyDescent="0.45">
      <c r="B25" s="170" t="s">
        <v>717</v>
      </c>
      <c r="C25" s="170" t="s">
        <v>405</v>
      </c>
      <c r="D25" s="170" t="s">
        <v>719</v>
      </c>
      <c r="E25" s="170" t="s">
        <v>407</v>
      </c>
      <c r="F25" s="170" t="s">
        <v>718</v>
      </c>
      <c r="G25" s="170" t="s">
        <v>394</v>
      </c>
      <c r="H25" s="170" t="s">
        <v>403</v>
      </c>
      <c r="I25" s="168">
        <v>402.37</v>
      </c>
      <c r="J25" s="168">
        <v>439427.14</v>
      </c>
    </row>
    <row r="26" spans="2:10" hidden="1" x14ac:dyDescent="0.45">
      <c r="B26" s="170" t="s">
        <v>717</v>
      </c>
      <c r="C26" s="170" t="s">
        <v>405</v>
      </c>
      <c r="D26" s="170" t="s">
        <v>719</v>
      </c>
      <c r="E26" s="170" t="s">
        <v>406</v>
      </c>
      <c r="F26" s="170" t="s">
        <v>718</v>
      </c>
      <c r="G26" s="170" t="s">
        <v>394</v>
      </c>
      <c r="H26" s="170" t="s">
        <v>403</v>
      </c>
      <c r="I26" s="168">
        <v>1689.93</v>
      </c>
      <c r="J26" s="168">
        <v>441117.07</v>
      </c>
    </row>
    <row r="27" spans="2:10" hidden="1" x14ac:dyDescent="0.45">
      <c r="B27" s="170" t="s">
        <v>717</v>
      </c>
      <c r="C27" s="170" t="s">
        <v>405</v>
      </c>
      <c r="D27" s="170" t="s">
        <v>716</v>
      </c>
      <c r="E27" s="170" t="s">
        <v>407</v>
      </c>
      <c r="F27" s="170" t="s">
        <v>715</v>
      </c>
      <c r="G27" s="170" t="s">
        <v>394</v>
      </c>
      <c r="H27" s="170" t="s">
        <v>403</v>
      </c>
      <c r="I27" s="168">
        <v>371.83</v>
      </c>
      <c r="J27" s="168">
        <v>441488.9</v>
      </c>
    </row>
    <row r="28" spans="2:10" hidden="1" x14ac:dyDescent="0.45">
      <c r="B28" s="170" t="s">
        <v>714</v>
      </c>
      <c r="C28" s="170" t="s">
        <v>375</v>
      </c>
      <c r="D28" s="170" t="s">
        <v>713</v>
      </c>
      <c r="E28" s="170"/>
      <c r="F28" s="170" t="s">
        <v>399</v>
      </c>
      <c r="G28" s="170" t="s">
        <v>394</v>
      </c>
      <c r="H28" s="169" t="s">
        <v>372</v>
      </c>
      <c r="I28" s="168">
        <v>-824.29</v>
      </c>
      <c r="J28" s="168">
        <v>440664.61</v>
      </c>
    </row>
    <row r="29" spans="2:10" hidden="1" x14ac:dyDescent="0.45">
      <c r="B29" s="170" t="s">
        <v>714</v>
      </c>
      <c r="C29" s="170" t="s">
        <v>375</v>
      </c>
      <c r="D29" s="170" t="s">
        <v>713</v>
      </c>
      <c r="E29" s="170"/>
      <c r="F29" s="170" t="s">
        <v>402</v>
      </c>
      <c r="G29" s="170" t="s">
        <v>394</v>
      </c>
      <c r="H29" s="169" t="s">
        <v>372</v>
      </c>
      <c r="I29" s="168">
        <v>223094.37</v>
      </c>
      <c r="J29" s="168">
        <v>663758.98</v>
      </c>
    </row>
    <row r="30" spans="2:10" hidden="1" x14ac:dyDescent="0.45">
      <c r="B30" s="170" t="s">
        <v>714</v>
      </c>
      <c r="C30" s="170" t="s">
        <v>375</v>
      </c>
      <c r="D30" s="170" t="s">
        <v>713</v>
      </c>
      <c r="E30" s="170"/>
      <c r="F30" s="170" t="s">
        <v>398</v>
      </c>
      <c r="G30" s="170" t="s">
        <v>394</v>
      </c>
      <c r="H30" s="169" t="s">
        <v>372</v>
      </c>
      <c r="I30" s="168">
        <v>-2525.02</v>
      </c>
      <c r="J30" s="168">
        <v>661233.96</v>
      </c>
    </row>
    <row r="31" spans="2:10" hidden="1" x14ac:dyDescent="0.45">
      <c r="B31" s="170" t="s">
        <v>714</v>
      </c>
      <c r="C31" s="170" t="s">
        <v>375</v>
      </c>
      <c r="D31" s="170" t="s">
        <v>713</v>
      </c>
      <c r="E31" s="170"/>
      <c r="F31" s="170" t="s">
        <v>378</v>
      </c>
      <c r="G31" s="170" t="s">
        <v>394</v>
      </c>
      <c r="H31" s="169" t="s">
        <v>372</v>
      </c>
      <c r="I31" s="168">
        <v>858.24</v>
      </c>
      <c r="J31" s="168">
        <v>662092.19999999995</v>
      </c>
    </row>
    <row r="32" spans="2:10" hidden="1" x14ac:dyDescent="0.45">
      <c r="B32" s="170" t="s">
        <v>714</v>
      </c>
      <c r="C32" s="170" t="s">
        <v>375</v>
      </c>
      <c r="D32" s="170" t="s">
        <v>713</v>
      </c>
      <c r="E32" s="170"/>
      <c r="F32" s="170" t="s">
        <v>374</v>
      </c>
      <c r="G32" s="170" t="s">
        <v>394</v>
      </c>
      <c r="H32" s="169" t="s">
        <v>372</v>
      </c>
      <c r="I32" s="168">
        <v>-858.24</v>
      </c>
      <c r="J32" s="168">
        <v>661233.96</v>
      </c>
    </row>
    <row r="33" spans="2:10" hidden="1" x14ac:dyDescent="0.45">
      <c r="B33" s="170" t="s">
        <v>714</v>
      </c>
      <c r="C33" s="170" t="s">
        <v>375</v>
      </c>
      <c r="D33" s="170" t="s">
        <v>713</v>
      </c>
      <c r="E33" s="170"/>
      <c r="F33" s="170" t="s">
        <v>401</v>
      </c>
      <c r="G33" s="170" t="s">
        <v>394</v>
      </c>
      <c r="H33" s="169" t="s">
        <v>372</v>
      </c>
      <c r="I33" s="168">
        <v>-13335.52</v>
      </c>
      <c r="J33" s="168">
        <v>647898.43999999994</v>
      </c>
    </row>
    <row r="34" spans="2:10" hidden="1" x14ac:dyDescent="0.45">
      <c r="B34" s="170" t="s">
        <v>714</v>
      </c>
      <c r="C34" s="170" t="s">
        <v>375</v>
      </c>
      <c r="D34" s="170" t="s">
        <v>713</v>
      </c>
      <c r="E34" s="170"/>
      <c r="F34" s="170" t="s">
        <v>400</v>
      </c>
      <c r="G34" s="170" t="s">
        <v>394</v>
      </c>
      <c r="H34" s="169" t="s">
        <v>372</v>
      </c>
      <c r="I34" s="168">
        <v>-430.87</v>
      </c>
      <c r="J34" s="168">
        <v>647467.56999999995</v>
      </c>
    </row>
    <row r="35" spans="2:10" hidden="1" x14ac:dyDescent="0.45">
      <c r="B35" s="170" t="s">
        <v>712</v>
      </c>
      <c r="C35" s="170" t="s">
        <v>375</v>
      </c>
      <c r="D35" s="170" t="s">
        <v>711</v>
      </c>
      <c r="E35" s="170"/>
      <c r="F35" s="170" t="s">
        <v>400</v>
      </c>
      <c r="G35" s="170" t="s">
        <v>394</v>
      </c>
      <c r="H35" s="169" t="s">
        <v>372</v>
      </c>
      <c r="I35" s="168">
        <v>-430.87</v>
      </c>
      <c r="J35" s="168">
        <v>647036.69999999995</v>
      </c>
    </row>
    <row r="36" spans="2:10" hidden="1" x14ac:dyDescent="0.45">
      <c r="B36" s="170" t="s">
        <v>712</v>
      </c>
      <c r="C36" s="170" t="s">
        <v>375</v>
      </c>
      <c r="D36" s="170" t="s">
        <v>711</v>
      </c>
      <c r="E36" s="170"/>
      <c r="F36" s="170" t="s">
        <v>399</v>
      </c>
      <c r="G36" s="170" t="s">
        <v>394</v>
      </c>
      <c r="H36" s="169" t="s">
        <v>372</v>
      </c>
      <c r="I36" s="168">
        <v>-824.29</v>
      </c>
      <c r="J36" s="168">
        <v>646212.41</v>
      </c>
    </row>
    <row r="37" spans="2:10" hidden="1" x14ac:dyDescent="0.45">
      <c r="B37" s="170" t="s">
        <v>712</v>
      </c>
      <c r="C37" s="170" t="s">
        <v>375</v>
      </c>
      <c r="D37" s="170" t="s">
        <v>711</v>
      </c>
      <c r="E37" s="170"/>
      <c r="F37" s="170" t="s">
        <v>402</v>
      </c>
      <c r="G37" s="170" t="s">
        <v>394</v>
      </c>
      <c r="H37" s="169" t="s">
        <v>372</v>
      </c>
      <c r="I37" s="168">
        <v>229522.95</v>
      </c>
      <c r="J37" s="168">
        <v>875735.36</v>
      </c>
    </row>
    <row r="38" spans="2:10" hidden="1" x14ac:dyDescent="0.45">
      <c r="B38" s="170" t="s">
        <v>712</v>
      </c>
      <c r="C38" s="170" t="s">
        <v>375</v>
      </c>
      <c r="D38" s="170" t="s">
        <v>711</v>
      </c>
      <c r="E38" s="170"/>
      <c r="F38" s="170" t="s">
        <v>398</v>
      </c>
      <c r="G38" s="170" t="s">
        <v>394</v>
      </c>
      <c r="H38" s="169" t="s">
        <v>372</v>
      </c>
      <c r="I38" s="168">
        <v>-2517.21</v>
      </c>
      <c r="J38" s="168">
        <v>873218.15</v>
      </c>
    </row>
    <row r="39" spans="2:10" hidden="1" x14ac:dyDescent="0.45">
      <c r="B39" s="170" t="s">
        <v>712</v>
      </c>
      <c r="C39" s="170" t="s">
        <v>375</v>
      </c>
      <c r="D39" s="170" t="s">
        <v>711</v>
      </c>
      <c r="E39" s="170"/>
      <c r="F39" s="170" t="s">
        <v>378</v>
      </c>
      <c r="G39" s="170" t="s">
        <v>394</v>
      </c>
      <c r="H39" s="169" t="s">
        <v>372</v>
      </c>
      <c r="I39" s="168">
        <v>868.15</v>
      </c>
      <c r="J39" s="168">
        <v>874086.3</v>
      </c>
    </row>
    <row r="40" spans="2:10" hidden="1" x14ac:dyDescent="0.45">
      <c r="B40" s="170" t="s">
        <v>712</v>
      </c>
      <c r="C40" s="170" t="s">
        <v>375</v>
      </c>
      <c r="D40" s="170" t="s">
        <v>711</v>
      </c>
      <c r="E40" s="170"/>
      <c r="F40" s="170" t="s">
        <v>374</v>
      </c>
      <c r="G40" s="170" t="s">
        <v>394</v>
      </c>
      <c r="H40" s="169" t="s">
        <v>372</v>
      </c>
      <c r="I40" s="168">
        <v>-868.15</v>
      </c>
      <c r="J40" s="168">
        <v>873218.15</v>
      </c>
    </row>
    <row r="41" spans="2:10" hidden="1" x14ac:dyDescent="0.45">
      <c r="B41" s="170" t="s">
        <v>712</v>
      </c>
      <c r="C41" s="170" t="s">
        <v>375</v>
      </c>
      <c r="D41" s="170" t="s">
        <v>711</v>
      </c>
      <c r="E41" s="170"/>
      <c r="F41" s="170" t="s">
        <v>401</v>
      </c>
      <c r="G41" s="170" t="s">
        <v>394</v>
      </c>
      <c r="H41" s="169" t="s">
        <v>372</v>
      </c>
      <c r="I41" s="168">
        <v>-13190.48</v>
      </c>
      <c r="J41" s="168">
        <v>860027.67</v>
      </c>
    </row>
    <row r="42" spans="2:10" hidden="1" x14ac:dyDescent="0.45">
      <c r="B42" s="170" t="s">
        <v>712</v>
      </c>
      <c r="C42" s="170" t="s">
        <v>375</v>
      </c>
      <c r="D42" s="170" t="s">
        <v>711</v>
      </c>
      <c r="E42" s="170"/>
      <c r="F42" s="170" t="s">
        <v>379</v>
      </c>
      <c r="G42" s="170" t="s">
        <v>394</v>
      </c>
      <c r="H42" s="169" t="s">
        <v>372</v>
      </c>
      <c r="I42" s="168">
        <v>-381.91</v>
      </c>
      <c r="J42" s="168">
        <v>859645.76</v>
      </c>
    </row>
    <row r="43" spans="2:10" hidden="1" x14ac:dyDescent="0.45">
      <c r="B43" s="170" t="s">
        <v>710</v>
      </c>
      <c r="C43" s="170" t="s">
        <v>405</v>
      </c>
      <c r="D43" s="170" t="s">
        <v>709</v>
      </c>
      <c r="E43" s="170" t="s">
        <v>407</v>
      </c>
      <c r="F43" s="170" t="s">
        <v>708</v>
      </c>
      <c r="G43" s="170" t="s">
        <v>394</v>
      </c>
      <c r="H43" s="170" t="s">
        <v>403</v>
      </c>
      <c r="I43" s="168">
        <v>406.63</v>
      </c>
      <c r="J43" s="168">
        <v>860052.39</v>
      </c>
    </row>
    <row r="44" spans="2:10" hidden="1" x14ac:dyDescent="0.45">
      <c r="B44" s="170" t="s">
        <v>710</v>
      </c>
      <c r="C44" s="170" t="s">
        <v>405</v>
      </c>
      <c r="D44" s="170" t="s">
        <v>709</v>
      </c>
      <c r="E44" s="170" t="s">
        <v>406</v>
      </c>
      <c r="F44" s="170" t="s">
        <v>708</v>
      </c>
      <c r="G44" s="170" t="s">
        <v>394</v>
      </c>
      <c r="H44" s="170" t="s">
        <v>403</v>
      </c>
      <c r="I44" s="168">
        <v>1707.85</v>
      </c>
      <c r="J44" s="168">
        <v>861760.24</v>
      </c>
    </row>
    <row r="45" spans="2:10" hidden="1" x14ac:dyDescent="0.45">
      <c r="B45" s="170" t="s">
        <v>710</v>
      </c>
      <c r="C45" s="170" t="s">
        <v>405</v>
      </c>
      <c r="D45" s="170" t="s">
        <v>709</v>
      </c>
      <c r="E45" s="170" t="s">
        <v>404</v>
      </c>
      <c r="F45" s="170" t="s">
        <v>708</v>
      </c>
      <c r="G45" s="170" t="s">
        <v>394</v>
      </c>
      <c r="H45" s="170" t="s">
        <v>403</v>
      </c>
      <c r="I45" s="168">
        <v>2927.75</v>
      </c>
      <c r="J45" s="168">
        <v>864687.99</v>
      </c>
    </row>
    <row r="46" spans="2:10" hidden="1" x14ac:dyDescent="0.45">
      <c r="B46" s="170" t="s">
        <v>707</v>
      </c>
      <c r="C46" s="170" t="s">
        <v>375</v>
      </c>
      <c r="D46" s="170" t="s">
        <v>706</v>
      </c>
      <c r="E46" s="170"/>
      <c r="F46" s="170" t="s">
        <v>401</v>
      </c>
      <c r="G46" s="170" t="s">
        <v>394</v>
      </c>
      <c r="H46" s="169" t="s">
        <v>372</v>
      </c>
      <c r="I46" s="168">
        <v>-13755.73</v>
      </c>
      <c r="J46" s="168">
        <v>850932.26</v>
      </c>
    </row>
    <row r="47" spans="2:10" hidden="1" x14ac:dyDescent="0.45">
      <c r="B47" s="170" t="s">
        <v>707</v>
      </c>
      <c r="C47" s="170" t="s">
        <v>375</v>
      </c>
      <c r="D47" s="170" t="s">
        <v>706</v>
      </c>
      <c r="E47" s="170"/>
      <c r="F47" s="170" t="s">
        <v>379</v>
      </c>
      <c r="G47" s="170" t="s">
        <v>394</v>
      </c>
      <c r="H47" s="169" t="s">
        <v>372</v>
      </c>
      <c r="I47" s="168">
        <v>-381.91</v>
      </c>
      <c r="J47" s="168">
        <v>850550.35</v>
      </c>
    </row>
    <row r="48" spans="2:10" hidden="1" x14ac:dyDescent="0.45">
      <c r="B48" s="170" t="s">
        <v>707</v>
      </c>
      <c r="C48" s="170" t="s">
        <v>375</v>
      </c>
      <c r="D48" s="170" t="s">
        <v>706</v>
      </c>
      <c r="E48" s="170"/>
      <c r="F48" s="170" t="s">
        <v>400</v>
      </c>
      <c r="G48" s="170" t="s">
        <v>394</v>
      </c>
      <c r="H48" s="169" t="s">
        <v>372</v>
      </c>
      <c r="I48" s="168">
        <v>-430.87</v>
      </c>
      <c r="J48" s="168">
        <v>850119.48</v>
      </c>
    </row>
    <row r="49" spans="2:10" hidden="1" x14ac:dyDescent="0.45">
      <c r="B49" s="170" t="s">
        <v>707</v>
      </c>
      <c r="C49" s="170" t="s">
        <v>375</v>
      </c>
      <c r="D49" s="170" t="s">
        <v>706</v>
      </c>
      <c r="E49" s="170"/>
      <c r="F49" s="170" t="s">
        <v>399</v>
      </c>
      <c r="G49" s="170" t="s">
        <v>394</v>
      </c>
      <c r="H49" s="169" t="s">
        <v>372</v>
      </c>
      <c r="I49" s="168">
        <v>-824.29</v>
      </c>
      <c r="J49" s="168">
        <v>849295.19</v>
      </c>
    </row>
    <row r="50" spans="2:10" hidden="1" x14ac:dyDescent="0.45">
      <c r="B50" s="170" t="s">
        <v>707</v>
      </c>
      <c r="C50" s="170" t="s">
        <v>375</v>
      </c>
      <c r="D50" s="170" t="s">
        <v>706</v>
      </c>
      <c r="E50" s="170"/>
      <c r="F50" s="170" t="s">
        <v>402</v>
      </c>
      <c r="G50" s="170" t="s">
        <v>394</v>
      </c>
      <c r="H50" s="169" t="s">
        <v>372</v>
      </c>
      <c r="I50" s="168">
        <v>231747.51</v>
      </c>
      <c r="J50" s="168">
        <v>1081042.7</v>
      </c>
    </row>
    <row r="51" spans="2:10" hidden="1" x14ac:dyDescent="0.45">
      <c r="B51" s="170" t="s">
        <v>707</v>
      </c>
      <c r="C51" s="170" t="s">
        <v>375</v>
      </c>
      <c r="D51" s="170" t="s">
        <v>706</v>
      </c>
      <c r="E51" s="170"/>
      <c r="F51" s="170" t="s">
        <v>398</v>
      </c>
      <c r="G51" s="170" t="s">
        <v>394</v>
      </c>
      <c r="H51" s="169" t="s">
        <v>372</v>
      </c>
      <c r="I51" s="168">
        <v>-2669.96</v>
      </c>
      <c r="J51" s="168">
        <v>1078372.74</v>
      </c>
    </row>
    <row r="52" spans="2:10" hidden="1" x14ac:dyDescent="0.45">
      <c r="B52" s="170" t="s">
        <v>707</v>
      </c>
      <c r="C52" s="170" t="s">
        <v>375</v>
      </c>
      <c r="D52" s="170" t="s">
        <v>706</v>
      </c>
      <c r="E52" s="170"/>
      <c r="F52" s="170" t="s">
        <v>378</v>
      </c>
      <c r="G52" s="170" t="s">
        <v>394</v>
      </c>
      <c r="H52" s="169" t="s">
        <v>372</v>
      </c>
      <c r="I52" s="168">
        <v>879.36</v>
      </c>
      <c r="J52" s="168">
        <v>1079252.1000000001</v>
      </c>
    </row>
    <row r="53" spans="2:10" hidden="1" x14ac:dyDescent="0.45">
      <c r="B53" s="170" t="s">
        <v>707</v>
      </c>
      <c r="C53" s="170" t="s">
        <v>375</v>
      </c>
      <c r="D53" s="170" t="s">
        <v>706</v>
      </c>
      <c r="E53" s="170"/>
      <c r="F53" s="170" t="s">
        <v>374</v>
      </c>
      <c r="G53" s="170" t="s">
        <v>394</v>
      </c>
      <c r="H53" s="169" t="s">
        <v>372</v>
      </c>
      <c r="I53" s="168">
        <v>-879.36</v>
      </c>
      <c r="J53" s="168">
        <v>1078372.74</v>
      </c>
    </row>
    <row r="54" spans="2:10" hidden="1" x14ac:dyDescent="0.45">
      <c r="B54" s="170" t="s">
        <v>703</v>
      </c>
      <c r="C54" s="170" t="s">
        <v>396</v>
      </c>
      <c r="D54" s="170"/>
      <c r="E54" s="170" t="s">
        <v>688</v>
      </c>
      <c r="F54" s="170" t="s">
        <v>705</v>
      </c>
      <c r="G54" s="170" t="s">
        <v>394</v>
      </c>
      <c r="H54" s="170" t="s">
        <v>686</v>
      </c>
      <c r="I54" s="168">
        <v>2345.73</v>
      </c>
      <c r="J54" s="168">
        <v>1080718.47</v>
      </c>
    </row>
    <row r="55" spans="2:10" hidden="1" x14ac:dyDescent="0.45">
      <c r="B55" s="170" t="s">
        <v>703</v>
      </c>
      <c r="C55" s="170" t="s">
        <v>396</v>
      </c>
      <c r="D55" s="170"/>
      <c r="E55" s="170" t="s">
        <v>395</v>
      </c>
      <c r="F55" s="170" t="s">
        <v>704</v>
      </c>
      <c r="G55" s="170" t="s">
        <v>394</v>
      </c>
      <c r="H55" s="170" t="s">
        <v>393</v>
      </c>
      <c r="I55" s="168">
        <v>67.319999999999993</v>
      </c>
      <c r="J55" s="168">
        <v>1080785.79</v>
      </c>
    </row>
    <row r="56" spans="2:10" hidden="1" x14ac:dyDescent="0.45">
      <c r="B56" s="170" t="s">
        <v>703</v>
      </c>
      <c r="C56" s="170" t="s">
        <v>396</v>
      </c>
      <c r="D56" s="170"/>
      <c r="E56" s="170" t="s">
        <v>395</v>
      </c>
      <c r="F56" s="170" t="s">
        <v>702</v>
      </c>
      <c r="G56" s="170" t="s">
        <v>394</v>
      </c>
      <c r="H56" s="170" t="s">
        <v>393</v>
      </c>
      <c r="I56" s="168">
        <v>2992.05</v>
      </c>
      <c r="J56" s="168">
        <v>1083777.8400000001</v>
      </c>
    </row>
    <row r="57" spans="2:10" hidden="1" x14ac:dyDescent="0.45">
      <c r="B57" s="170" t="s">
        <v>701</v>
      </c>
      <c r="C57" s="170" t="s">
        <v>375</v>
      </c>
      <c r="D57" s="170" t="s">
        <v>700</v>
      </c>
      <c r="E57" s="170"/>
      <c r="F57" s="170" t="s">
        <v>666</v>
      </c>
      <c r="G57" s="170" t="s">
        <v>394</v>
      </c>
      <c r="H57" s="169" t="s">
        <v>372</v>
      </c>
      <c r="I57" s="168">
        <v>-430.87</v>
      </c>
      <c r="J57" s="168">
        <v>1083346.97</v>
      </c>
    </row>
    <row r="58" spans="2:10" hidden="1" x14ac:dyDescent="0.45">
      <c r="B58" s="170" t="s">
        <v>701</v>
      </c>
      <c r="C58" s="170" t="s">
        <v>375</v>
      </c>
      <c r="D58" s="170" t="s">
        <v>700</v>
      </c>
      <c r="E58" s="170"/>
      <c r="F58" s="170" t="s">
        <v>665</v>
      </c>
      <c r="G58" s="170" t="s">
        <v>394</v>
      </c>
      <c r="H58" s="169" t="s">
        <v>372</v>
      </c>
      <c r="I58" s="168">
        <v>-824.29</v>
      </c>
      <c r="J58" s="168">
        <v>1082522.68</v>
      </c>
    </row>
    <row r="59" spans="2:10" hidden="1" x14ac:dyDescent="0.45">
      <c r="B59" s="170" t="s">
        <v>701</v>
      </c>
      <c r="C59" s="170" t="s">
        <v>375</v>
      </c>
      <c r="D59" s="170" t="s">
        <v>700</v>
      </c>
      <c r="E59" s="170"/>
      <c r="F59" s="170" t="s">
        <v>664</v>
      </c>
      <c r="G59" s="170" t="s">
        <v>394</v>
      </c>
      <c r="H59" s="169" t="s">
        <v>372</v>
      </c>
      <c r="I59" s="168">
        <v>230428.75</v>
      </c>
      <c r="J59" s="168">
        <v>1312951.43</v>
      </c>
    </row>
    <row r="60" spans="2:10" hidden="1" x14ac:dyDescent="0.45">
      <c r="B60" s="170" t="s">
        <v>701</v>
      </c>
      <c r="C60" s="170" t="s">
        <v>375</v>
      </c>
      <c r="D60" s="170" t="s">
        <v>700</v>
      </c>
      <c r="E60" s="170"/>
      <c r="F60" s="170" t="s">
        <v>663</v>
      </c>
      <c r="G60" s="170" t="s">
        <v>394</v>
      </c>
      <c r="H60" s="169" t="s">
        <v>372</v>
      </c>
      <c r="I60" s="168">
        <v>-13563.56</v>
      </c>
      <c r="J60" s="168">
        <v>1299387.8700000001</v>
      </c>
    </row>
    <row r="61" spans="2:10" hidden="1" x14ac:dyDescent="0.45">
      <c r="B61" s="170" t="s">
        <v>701</v>
      </c>
      <c r="C61" s="170" t="s">
        <v>375</v>
      </c>
      <c r="D61" s="170" t="s">
        <v>700</v>
      </c>
      <c r="E61" s="170"/>
      <c r="F61" s="170" t="s">
        <v>662</v>
      </c>
      <c r="G61" s="170" t="s">
        <v>394</v>
      </c>
      <c r="H61" s="169" t="s">
        <v>372</v>
      </c>
      <c r="I61" s="168">
        <v>-381.91</v>
      </c>
      <c r="J61" s="168">
        <v>1299005.96</v>
      </c>
    </row>
    <row r="62" spans="2:10" hidden="1" x14ac:dyDescent="0.45">
      <c r="B62" s="170" t="s">
        <v>701</v>
      </c>
      <c r="C62" s="170" t="s">
        <v>375</v>
      </c>
      <c r="D62" s="170" t="s">
        <v>700</v>
      </c>
      <c r="E62" s="170"/>
      <c r="F62" s="170" t="s">
        <v>398</v>
      </c>
      <c r="G62" s="170" t="s">
        <v>394</v>
      </c>
      <c r="H62" s="169" t="s">
        <v>372</v>
      </c>
      <c r="I62" s="168">
        <v>-2635.53</v>
      </c>
      <c r="J62" s="168">
        <v>1296370.43</v>
      </c>
    </row>
    <row r="63" spans="2:10" hidden="1" x14ac:dyDescent="0.45">
      <c r="B63" s="170" t="s">
        <v>701</v>
      </c>
      <c r="C63" s="170" t="s">
        <v>375</v>
      </c>
      <c r="D63" s="170" t="s">
        <v>700</v>
      </c>
      <c r="E63" s="170"/>
      <c r="F63" s="170" t="s">
        <v>378</v>
      </c>
      <c r="G63" s="170" t="s">
        <v>394</v>
      </c>
      <c r="H63" s="169" t="s">
        <v>372</v>
      </c>
      <c r="I63" s="168">
        <v>888.95</v>
      </c>
      <c r="J63" s="168">
        <v>1297259.3799999999</v>
      </c>
    </row>
    <row r="64" spans="2:10" hidden="1" x14ac:dyDescent="0.45">
      <c r="B64" s="170" t="s">
        <v>701</v>
      </c>
      <c r="C64" s="170" t="s">
        <v>375</v>
      </c>
      <c r="D64" s="170" t="s">
        <v>700</v>
      </c>
      <c r="E64" s="170"/>
      <c r="F64" s="170" t="s">
        <v>374</v>
      </c>
      <c r="G64" s="170" t="s">
        <v>394</v>
      </c>
      <c r="H64" s="169" t="s">
        <v>372</v>
      </c>
      <c r="I64" s="168">
        <v>-888.95</v>
      </c>
      <c r="J64" s="168">
        <v>1296370.43</v>
      </c>
    </row>
    <row r="65" spans="2:10" hidden="1" x14ac:dyDescent="0.45">
      <c r="B65" s="170" t="s">
        <v>699</v>
      </c>
      <c r="C65" s="170" t="s">
        <v>405</v>
      </c>
      <c r="D65" s="170" t="s">
        <v>698</v>
      </c>
      <c r="E65" s="170" t="s">
        <v>407</v>
      </c>
      <c r="F65" s="170" t="s">
        <v>697</v>
      </c>
      <c r="G65" s="170" t="s">
        <v>394</v>
      </c>
      <c r="H65" s="170" t="s">
        <v>403</v>
      </c>
      <c r="I65" s="168">
        <v>427.86</v>
      </c>
      <c r="J65" s="168">
        <v>1296798.29</v>
      </c>
    </row>
    <row r="66" spans="2:10" hidden="1" x14ac:dyDescent="0.45">
      <c r="B66" s="170" t="s">
        <v>699</v>
      </c>
      <c r="C66" s="170" t="s">
        <v>405</v>
      </c>
      <c r="D66" s="170" t="s">
        <v>698</v>
      </c>
      <c r="E66" s="170" t="s">
        <v>404</v>
      </c>
      <c r="F66" s="170" t="s">
        <v>697</v>
      </c>
      <c r="G66" s="170" t="s">
        <v>394</v>
      </c>
      <c r="H66" s="170" t="s">
        <v>403</v>
      </c>
      <c r="I66" s="168">
        <v>3080.61</v>
      </c>
      <c r="J66" s="168">
        <v>1299878.8999999999</v>
      </c>
    </row>
    <row r="67" spans="2:10" hidden="1" x14ac:dyDescent="0.45">
      <c r="B67" s="170" t="s">
        <v>699</v>
      </c>
      <c r="C67" s="170" t="s">
        <v>405</v>
      </c>
      <c r="D67" s="170" t="s">
        <v>698</v>
      </c>
      <c r="E67" s="170" t="s">
        <v>406</v>
      </c>
      <c r="F67" s="170" t="s">
        <v>697</v>
      </c>
      <c r="G67" s="170" t="s">
        <v>394</v>
      </c>
      <c r="H67" s="170" t="s">
        <v>403</v>
      </c>
      <c r="I67" s="168">
        <v>1797.02</v>
      </c>
      <c r="J67" s="168">
        <v>1301675.92</v>
      </c>
    </row>
    <row r="68" spans="2:10" hidden="1" x14ac:dyDescent="0.45">
      <c r="B68" s="170" t="s">
        <v>694</v>
      </c>
      <c r="C68" s="170" t="s">
        <v>396</v>
      </c>
      <c r="D68" s="170"/>
      <c r="E68" s="170" t="s">
        <v>395</v>
      </c>
      <c r="F68" s="170" t="s">
        <v>696</v>
      </c>
      <c r="G68" s="170" t="s">
        <v>394</v>
      </c>
      <c r="H68" s="170" t="s">
        <v>393</v>
      </c>
      <c r="I68" s="168">
        <v>225.57</v>
      </c>
      <c r="J68" s="168">
        <v>1301901.49</v>
      </c>
    </row>
    <row r="69" spans="2:10" hidden="1" x14ac:dyDescent="0.45">
      <c r="B69" s="170" t="s">
        <v>694</v>
      </c>
      <c r="C69" s="170" t="s">
        <v>375</v>
      </c>
      <c r="D69" s="170" t="s">
        <v>695</v>
      </c>
      <c r="E69" s="170"/>
      <c r="F69" s="170" t="s">
        <v>666</v>
      </c>
      <c r="G69" s="170" t="s">
        <v>394</v>
      </c>
      <c r="H69" s="169" t="s">
        <v>372</v>
      </c>
      <c r="I69" s="168">
        <v>-914.32</v>
      </c>
      <c r="J69" s="168">
        <v>1300987.17</v>
      </c>
    </row>
    <row r="70" spans="2:10" hidden="1" x14ac:dyDescent="0.45">
      <c r="B70" s="170" t="s">
        <v>694</v>
      </c>
      <c r="C70" s="170" t="s">
        <v>375</v>
      </c>
      <c r="D70" s="170" t="s">
        <v>695</v>
      </c>
      <c r="E70" s="170"/>
      <c r="F70" s="170" t="s">
        <v>665</v>
      </c>
      <c r="G70" s="170" t="s">
        <v>394</v>
      </c>
      <c r="H70" s="169" t="s">
        <v>372</v>
      </c>
      <c r="I70" s="168">
        <v>-824.29</v>
      </c>
      <c r="J70" s="168">
        <v>1300162.8799999999</v>
      </c>
    </row>
    <row r="71" spans="2:10" hidden="1" x14ac:dyDescent="0.45">
      <c r="B71" s="170" t="s">
        <v>694</v>
      </c>
      <c r="C71" s="170" t="s">
        <v>375</v>
      </c>
      <c r="D71" s="170" t="s">
        <v>695</v>
      </c>
      <c r="E71" s="170"/>
      <c r="F71" s="170" t="s">
        <v>664</v>
      </c>
      <c r="G71" s="170" t="s">
        <v>394</v>
      </c>
      <c r="H71" s="169" t="s">
        <v>372</v>
      </c>
      <c r="I71" s="168">
        <v>227458.82</v>
      </c>
      <c r="J71" s="168">
        <v>1527621.7</v>
      </c>
    </row>
    <row r="72" spans="2:10" hidden="1" x14ac:dyDescent="0.45">
      <c r="B72" s="170" t="s">
        <v>694</v>
      </c>
      <c r="C72" s="170" t="s">
        <v>375</v>
      </c>
      <c r="D72" s="170" t="s">
        <v>695</v>
      </c>
      <c r="E72" s="170"/>
      <c r="F72" s="170" t="s">
        <v>663</v>
      </c>
      <c r="G72" s="170" t="s">
        <v>394</v>
      </c>
      <c r="H72" s="169" t="s">
        <v>372</v>
      </c>
      <c r="I72" s="168">
        <v>-13440.41</v>
      </c>
      <c r="J72" s="168">
        <v>1514181.29</v>
      </c>
    </row>
    <row r="73" spans="2:10" hidden="1" x14ac:dyDescent="0.45">
      <c r="B73" s="170" t="s">
        <v>694</v>
      </c>
      <c r="C73" s="170" t="s">
        <v>375</v>
      </c>
      <c r="D73" s="170" t="s">
        <v>695</v>
      </c>
      <c r="E73" s="170"/>
      <c r="F73" s="170" t="s">
        <v>662</v>
      </c>
      <c r="G73" s="170" t="s">
        <v>394</v>
      </c>
      <c r="H73" s="169" t="s">
        <v>372</v>
      </c>
      <c r="I73" s="168">
        <v>-381.91</v>
      </c>
      <c r="J73" s="168">
        <v>1513799.38</v>
      </c>
    </row>
    <row r="74" spans="2:10" hidden="1" x14ac:dyDescent="0.45">
      <c r="B74" s="170" t="s">
        <v>694</v>
      </c>
      <c r="C74" s="170" t="s">
        <v>375</v>
      </c>
      <c r="D74" s="170" t="s">
        <v>695</v>
      </c>
      <c r="E74" s="170"/>
      <c r="F74" s="170" t="s">
        <v>398</v>
      </c>
      <c r="G74" s="170" t="s">
        <v>394</v>
      </c>
      <c r="H74" s="169" t="s">
        <v>372</v>
      </c>
      <c r="I74" s="168">
        <v>-2613.48</v>
      </c>
      <c r="J74" s="168">
        <v>1511185.9</v>
      </c>
    </row>
    <row r="75" spans="2:10" hidden="1" x14ac:dyDescent="0.45">
      <c r="B75" s="170" t="s">
        <v>694</v>
      </c>
      <c r="C75" s="170" t="s">
        <v>375</v>
      </c>
      <c r="D75" s="170" t="s">
        <v>695</v>
      </c>
      <c r="E75" s="170"/>
      <c r="F75" s="170" t="s">
        <v>378</v>
      </c>
      <c r="G75" s="170" t="s">
        <v>394</v>
      </c>
      <c r="H75" s="169" t="s">
        <v>372</v>
      </c>
      <c r="I75" s="168">
        <v>864.44</v>
      </c>
      <c r="J75" s="168">
        <v>1512050.34</v>
      </c>
    </row>
    <row r="76" spans="2:10" hidden="1" x14ac:dyDescent="0.45">
      <c r="B76" s="170" t="s">
        <v>694</v>
      </c>
      <c r="C76" s="170" t="s">
        <v>375</v>
      </c>
      <c r="D76" s="170" t="s">
        <v>695</v>
      </c>
      <c r="E76" s="170"/>
      <c r="F76" s="170" t="s">
        <v>374</v>
      </c>
      <c r="G76" s="170" t="s">
        <v>394</v>
      </c>
      <c r="H76" s="169" t="s">
        <v>372</v>
      </c>
      <c r="I76" s="168">
        <v>-864.44</v>
      </c>
      <c r="J76" s="168">
        <v>1511185.9</v>
      </c>
    </row>
    <row r="77" spans="2:10" hidden="1" x14ac:dyDescent="0.45">
      <c r="B77" s="170" t="s">
        <v>694</v>
      </c>
      <c r="C77" s="170" t="s">
        <v>396</v>
      </c>
      <c r="D77" s="170"/>
      <c r="E77" s="170" t="s">
        <v>395</v>
      </c>
      <c r="F77" s="170" t="s">
        <v>693</v>
      </c>
      <c r="G77" s="170" t="s">
        <v>394</v>
      </c>
      <c r="H77" s="170" t="s">
        <v>393</v>
      </c>
      <c r="I77" s="168">
        <v>5.08</v>
      </c>
      <c r="J77" s="168">
        <v>1511190.98</v>
      </c>
    </row>
    <row r="78" spans="2:10" hidden="1" x14ac:dyDescent="0.45">
      <c r="B78" s="170" t="s">
        <v>691</v>
      </c>
      <c r="C78" s="170" t="s">
        <v>375</v>
      </c>
      <c r="D78" s="170" t="s">
        <v>692</v>
      </c>
      <c r="E78" s="170"/>
      <c r="F78" s="170" t="s">
        <v>663</v>
      </c>
      <c r="G78" s="170" t="s">
        <v>394</v>
      </c>
      <c r="H78" s="169" t="s">
        <v>372</v>
      </c>
      <c r="I78" s="168">
        <v>-13555.93</v>
      </c>
      <c r="J78" s="168">
        <v>1497635.05</v>
      </c>
    </row>
    <row r="79" spans="2:10" hidden="1" x14ac:dyDescent="0.45">
      <c r="B79" s="170" t="s">
        <v>691</v>
      </c>
      <c r="C79" s="170" t="s">
        <v>375</v>
      </c>
      <c r="D79" s="170" t="s">
        <v>692</v>
      </c>
      <c r="E79" s="170"/>
      <c r="F79" s="170" t="s">
        <v>662</v>
      </c>
      <c r="G79" s="170" t="s">
        <v>394</v>
      </c>
      <c r="H79" s="169" t="s">
        <v>372</v>
      </c>
      <c r="I79" s="168">
        <v>-381.91</v>
      </c>
      <c r="J79" s="168">
        <v>1497253.14</v>
      </c>
    </row>
    <row r="80" spans="2:10" hidden="1" x14ac:dyDescent="0.45">
      <c r="B80" s="170" t="s">
        <v>691</v>
      </c>
      <c r="C80" s="170" t="s">
        <v>375</v>
      </c>
      <c r="D80" s="170" t="s">
        <v>692</v>
      </c>
      <c r="E80" s="170"/>
      <c r="F80" s="170" t="s">
        <v>398</v>
      </c>
      <c r="G80" s="170" t="s">
        <v>394</v>
      </c>
      <c r="H80" s="169" t="s">
        <v>372</v>
      </c>
      <c r="I80" s="168">
        <v>-2627.53</v>
      </c>
      <c r="J80" s="168">
        <v>1494625.61</v>
      </c>
    </row>
    <row r="81" spans="2:10" hidden="1" x14ac:dyDescent="0.45">
      <c r="B81" s="170" t="s">
        <v>691</v>
      </c>
      <c r="C81" s="170" t="s">
        <v>375</v>
      </c>
      <c r="D81" s="170" t="s">
        <v>692</v>
      </c>
      <c r="E81" s="170"/>
      <c r="F81" s="170" t="s">
        <v>378</v>
      </c>
      <c r="G81" s="170" t="s">
        <v>394</v>
      </c>
      <c r="H81" s="169" t="s">
        <v>372</v>
      </c>
      <c r="I81" s="168">
        <v>875.77</v>
      </c>
      <c r="J81" s="168">
        <v>1495501.38</v>
      </c>
    </row>
    <row r="82" spans="2:10" hidden="1" x14ac:dyDescent="0.45">
      <c r="B82" s="170" t="s">
        <v>691</v>
      </c>
      <c r="C82" s="170" t="s">
        <v>375</v>
      </c>
      <c r="D82" s="170" t="s">
        <v>692</v>
      </c>
      <c r="E82" s="170"/>
      <c r="F82" s="170" t="s">
        <v>374</v>
      </c>
      <c r="G82" s="170" t="s">
        <v>394</v>
      </c>
      <c r="H82" s="169" t="s">
        <v>372</v>
      </c>
      <c r="I82" s="168">
        <v>-875.77</v>
      </c>
      <c r="J82" s="168">
        <v>1494625.61</v>
      </c>
    </row>
    <row r="83" spans="2:10" hidden="1" x14ac:dyDescent="0.45">
      <c r="B83" s="170" t="s">
        <v>691</v>
      </c>
      <c r="C83" s="170" t="s">
        <v>375</v>
      </c>
      <c r="D83" s="170" t="s">
        <v>692</v>
      </c>
      <c r="E83" s="170"/>
      <c r="F83" s="170" t="s">
        <v>666</v>
      </c>
      <c r="G83" s="170" t="s">
        <v>394</v>
      </c>
      <c r="H83" s="169" t="s">
        <v>372</v>
      </c>
      <c r="I83" s="168">
        <v>-914.32</v>
      </c>
      <c r="J83" s="168">
        <v>1493711.29</v>
      </c>
    </row>
    <row r="84" spans="2:10" hidden="1" x14ac:dyDescent="0.45">
      <c r="B84" s="170" t="s">
        <v>691</v>
      </c>
      <c r="C84" s="170" t="s">
        <v>375</v>
      </c>
      <c r="D84" s="170" t="s">
        <v>692</v>
      </c>
      <c r="E84" s="170"/>
      <c r="F84" s="170" t="s">
        <v>665</v>
      </c>
      <c r="G84" s="170" t="s">
        <v>394</v>
      </c>
      <c r="H84" s="169" t="s">
        <v>372</v>
      </c>
      <c r="I84" s="168">
        <v>-824.29</v>
      </c>
      <c r="J84" s="168">
        <v>1492887</v>
      </c>
    </row>
    <row r="85" spans="2:10" hidden="1" x14ac:dyDescent="0.45">
      <c r="B85" s="170" t="s">
        <v>691</v>
      </c>
      <c r="C85" s="170" t="s">
        <v>375</v>
      </c>
      <c r="D85" s="170" t="s">
        <v>692</v>
      </c>
      <c r="E85" s="170"/>
      <c r="F85" s="170" t="s">
        <v>664</v>
      </c>
      <c r="G85" s="170" t="s">
        <v>394</v>
      </c>
      <c r="H85" s="169" t="s">
        <v>372</v>
      </c>
      <c r="I85" s="168">
        <v>229696.02</v>
      </c>
      <c r="J85" s="168">
        <v>1722583.02</v>
      </c>
    </row>
    <row r="86" spans="2:10" hidden="1" x14ac:dyDescent="0.45">
      <c r="B86" s="170" t="s">
        <v>691</v>
      </c>
      <c r="C86" s="170" t="s">
        <v>396</v>
      </c>
      <c r="D86" s="170"/>
      <c r="E86" s="170"/>
      <c r="F86" s="170" t="s">
        <v>690</v>
      </c>
      <c r="G86" s="170" t="s">
        <v>394</v>
      </c>
      <c r="H86" s="170" t="s">
        <v>686</v>
      </c>
      <c r="I86" s="168">
        <v>20366</v>
      </c>
      <c r="J86" s="168">
        <v>1742949.02</v>
      </c>
    </row>
    <row r="87" spans="2:10" hidden="1" x14ac:dyDescent="0.45">
      <c r="B87" s="170" t="s">
        <v>689</v>
      </c>
      <c r="C87" s="170" t="s">
        <v>396</v>
      </c>
      <c r="D87" s="170"/>
      <c r="E87" s="170" t="s">
        <v>688</v>
      </c>
      <c r="F87" s="170" t="s">
        <v>687</v>
      </c>
      <c r="G87" s="170" t="s">
        <v>394</v>
      </c>
      <c r="H87" s="170" t="s">
        <v>686</v>
      </c>
      <c r="I87" s="168">
        <v>2440.7800000000002</v>
      </c>
      <c r="J87" s="168">
        <v>1745389.8</v>
      </c>
    </row>
    <row r="88" spans="2:10" hidden="1" x14ac:dyDescent="0.45">
      <c r="B88" s="170" t="s">
        <v>683</v>
      </c>
      <c r="C88" s="170" t="s">
        <v>396</v>
      </c>
      <c r="D88" s="170"/>
      <c r="E88" s="170" t="s">
        <v>397</v>
      </c>
      <c r="F88" s="170" t="s">
        <v>685</v>
      </c>
      <c r="G88" s="170" t="s">
        <v>394</v>
      </c>
      <c r="H88" s="170" t="s">
        <v>393</v>
      </c>
      <c r="I88" s="168">
        <v>68.13</v>
      </c>
      <c r="J88" s="168">
        <v>1745457.93</v>
      </c>
    </row>
    <row r="89" spans="2:10" hidden="1" x14ac:dyDescent="0.45">
      <c r="B89" s="170" t="s">
        <v>683</v>
      </c>
      <c r="C89" s="170" t="s">
        <v>396</v>
      </c>
      <c r="D89" s="170"/>
      <c r="E89" s="170" t="s">
        <v>395</v>
      </c>
      <c r="F89" s="170" t="s">
        <v>684</v>
      </c>
      <c r="G89" s="170" t="s">
        <v>394</v>
      </c>
      <c r="H89" s="170" t="s">
        <v>393</v>
      </c>
      <c r="I89" s="168">
        <v>3027.78</v>
      </c>
      <c r="J89" s="168">
        <v>1748485.71</v>
      </c>
    </row>
    <row r="90" spans="2:10" hidden="1" x14ac:dyDescent="0.45">
      <c r="B90" s="170" t="s">
        <v>683</v>
      </c>
      <c r="C90" s="170" t="s">
        <v>375</v>
      </c>
      <c r="D90" s="170" t="s">
        <v>682</v>
      </c>
      <c r="E90" s="170"/>
      <c r="F90" s="170" t="s">
        <v>666</v>
      </c>
      <c r="G90" s="170" t="s">
        <v>394</v>
      </c>
      <c r="H90" s="169" t="s">
        <v>372</v>
      </c>
      <c r="I90" s="168">
        <v>-914.32</v>
      </c>
      <c r="J90" s="168">
        <v>1747571.39</v>
      </c>
    </row>
    <row r="91" spans="2:10" hidden="1" x14ac:dyDescent="0.45">
      <c r="B91" s="170" t="s">
        <v>683</v>
      </c>
      <c r="C91" s="170" t="s">
        <v>375</v>
      </c>
      <c r="D91" s="170" t="s">
        <v>682</v>
      </c>
      <c r="E91" s="170"/>
      <c r="F91" s="170" t="s">
        <v>665</v>
      </c>
      <c r="G91" s="170" t="s">
        <v>394</v>
      </c>
      <c r="H91" s="169" t="s">
        <v>372</v>
      </c>
      <c r="I91" s="168">
        <v>-824.29</v>
      </c>
      <c r="J91" s="168">
        <v>1746747.1</v>
      </c>
    </row>
    <row r="92" spans="2:10" hidden="1" x14ac:dyDescent="0.45">
      <c r="B92" s="170" t="s">
        <v>683</v>
      </c>
      <c r="C92" s="170" t="s">
        <v>375</v>
      </c>
      <c r="D92" s="170" t="s">
        <v>682</v>
      </c>
      <c r="E92" s="170"/>
      <c r="F92" s="170" t="s">
        <v>664</v>
      </c>
      <c r="G92" s="170" t="s">
        <v>394</v>
      </c>
      <c r="H92" s="169" t="s">
        <v>372</v>
      </c>
      <c r="I92" s="168">
        <v>234627.18</v>
      </c>
      <c r="J92" s="168">
        <v>1981374.28</v>
      </c>
    </row>
    <row r="93" spans="2:10" hidden="1" x14ac:dyDescent="0.45">
      <c r="B93" s="170" t="s">
        <v>683</v>
      </c>
      <c r="C93" s="170" t="s">
        <v>375</v>
      </c>
      <c r="D93" s="170" t="s">
        <v>682</v>
      </c>
      <c r="E93" s="170"/>
      <c r="F93" s="170" t="s">
        <v>663</v>
      </c>
      <c r="G93" s="170" t="s">
        <v>394</v>
      </c>
      <c r="H93" s="169" t="s">
        <v>372</v>
      </c>
      <c r="I93" s="168">
        <v>-13878.39</v>
      </c>
      <c r="J93" s="168">
        <v>1967495.89</v>
      </c>
    </row>
    <row r="94" spans="2:10" hidden="1" x14ac:dyDescent="0.45">
      <c r="B94" s="170" t="s">
        <v>683</v>
      </c>
      <c r="C94" s="170" t="s">
        <v>375</v>
      </c>
      <c r="D94" s="170" t="s">
        <v>682</v>
      </c>
      <c r="E94" s="170"/>
      <c r="F94" s="170" t="s">
        <v>662</v>
      </c>
      <c r="G94" s="170" t="s">
        <v>394</v>
      </c>
      <c r="H94" s="169" t="s">
        <v>372</v>
      </c>
      <c r="I94" s="168">
        <v>-381.91</v>
      </c>
      <c r="J94" s="168">
        <v>1967113.98</v>
      </c>
    </row>
    <row r="95" spans="2:10" hidden="1" x14ac:dyDescent="0.45">
      <c r="B95" s="170" t="s">
        <v>683</v>
      </c>
      <c r="C95" s="170" t="s">
        <v>375</v>
      </c>
      <c r="D95" s="170" t="s">
        <v>682</v>
      </c>
      <c r="E95" s="170"/>
      <c r="F95" s="170" t="s">
        <v>398</v>
      </c>
      <c r="G95" s="170" t="s">
        <v>394</v>
      </c>
      <c r="H95" s="169" t="s">
        <v>372</v>
      </c>
      <c r="I95" s="168">
        <v>-2634.19</v>
      </c>
      <c r="J95" s="168">
        <v>1964479.79</v>
      </c>
    </row>
    <row r="96" spans="2:10" hidden="1" x14ac:dyDescent="0.45">
      <c r="B96" s="170" t="s">
        <v>683</v>
      </c>
      <c r="C96" s="170" t="s">
        <v>375</v>
      </c>
      <c r="D96" s="170" t="s">
        <v>682</v>
      </c>
      <c r="E96" s="170"/>
      <c r="F96" s="170" t="s">
        <v>378</v>
      </c>
      <c r="G96" s="170" t="s">
        <v>394</v>
      </c>
      <c r="H96" s="169" t="s">
        <v>372</v>
      </c>
      <c r="I96" s="168">
        <v>895.77</v>
      </c>
      <c r="J96" s="168">
        <v>1965375.56</v>
      </c>
    </row>
    <row r="97" spans="2:10" hidden="1" x14ac:dyDescent="0.45">
      <c r="B97" s="170" t="s">
        <v>683</v>
      </c>
      <c r="C97" s="170" t="s">
        <v>375</v>
      </c>
      <c r="D97" s="170" t="s">
        <v>682</v>
      </c>
      <c r="E97" s="170"/>
      <c r="F97" s="170" t="s">
        <v>374</v>
      </c>
      <c r="G97" s="170" t="s">
        <v>394</v>
      </c>
      <c r="H97" s="169" t="s">
        <v>372</v>
      </c>
      <c r="I97" s="168">
        <v>-895.77</v>
      </c>
      <c r="J97" s="168">
        <v>1964479.79</v>
      </c>
    </row>
    <row r="98" spans="2:10" hidden="1" x14ac:dyDescent="0.45">
      <c r="B98" s="170" t="s">
        <v>681</v>
      </c>
      <c r="C98" s="170" t="s">
        <v>375</v>
      </c>
      <c r="D98" s="170" t="s">
        <v>680</v>
      </c>
      <c r="E98" s="170"/>
      <c r="F98" s="170" t="s">
        <v>666</v>
      </c>
      <c r="G98" s="170" t="s">
        <v>394</v>
      </c>
      <c r="H98" s="169" t="s">
        <v>372</v>
      </c>
      <c r="I98" s="168">
        <v>-914.32</v>
      </c>
      <c r="J98" s="168">
        <v>1963565.47</v>
      </c>
    </row>
    <row r="99" spans="2:10" hidden="1" x14ac:dyDescent="0.45">
      <c r="B99" s="170" t="s">
        <v>681</v>
      </c>
      <c r="C99" s="170" t="s">
        <v>375</v>
      </c>
      <c r="D99" s="170" t="s">
        <v>680</v>
      </c>
      <c r="E99" s="170"/>
      <c r="F99" s="170" t="s">
        <v>665</v>
      </c>
      <c r="G99" s="170" t="s">
        <v>394</v>
      </c>
      <c r="H99" s="169" t="s">
        <v>372</v>
      </c>
      <c r="I99" s="168">
        <v>-824.29</v>
      </c>
      <c r="J99" s="168">
        <v>1962741.18</v>
      </c>
    </row>
    <row r="100" spans="2:10" hidden="1" x14ac:dyDescent="0.45">
      <c r="B100" s="170" t="s">
        <v>681</v>
      </c>
      <c r="C100" s="170" t="s">
        <v>375</v>
      </c>
      <c r="D100" s="170" t="s">
        <v>680</v>
      </c>
      <c r="E100" s="170"/>
      <c r="F100" s="170" t="s">
        <v>664</v>
      </c>
      <c r="G100" s="170" t="s">
        <v>394</v>
      </c>
      <c r="H100" s="169" t="s">
        <v>372</v>
      </c>
      <c r="I100" s="168">
        <v>228045.27</v>
      </c>
      <c r="J100" s="168">
        <v>2190786.4500000002</v>
      </c>
    </row>
    <row r="101" spans="2:10" hidden="1" x14ac:dyDescent="0.45">
      <c r="B101" s="170" t="s">
        <v>681</v>
      </c>
      <c r="C101" s="170" t="s">
        <v>375</v>
      </c>
      <c r="D101" s="170" t="s">
        <v>680</v>
      </c>
      <c r="E101" s="170"/>
      <c r="F101" s="170" t="s">
        <v>663</v>
      </c>
      <c r="G101" s="170" t="s">
        <v>394</v>
      </c>
      <c r="H101" s="169" t="s">
        <v>372</v>
      </c>
      <c r="I101" s="168">
        <v>-13445.82</v>
      </c>
      <c r="J101" s="168">
        <v>2177340.63</v>
      </c>
    </row>
    <row r="102" spans="2:10" hidden="1" x14ac:dyDescent="0.45">
      <c r="B102" s="170" t="s">
        <v>681</v>
      </c>
      <c r="C102" s="170" t="s">
        <v>375</v>
      </c>
      <c r="D102" s="170" t="s">
        <v>680</v>
      </c>
      <c r="E102" s="170"/>
      <c r="F102" s="170" t="s">
        <v>662</v>
      </c>
      <c r="G102" s="170" t="s">
        <v>394</v>
      </c>
      <c r="H102" s="169" t="s">
        <v>372</v>
      </c>
      <c r="I102" s="168">
        <v>-381.91</v>
      </c>
      <c r="J102" s="168">
        <v>2176958.7200000002</v>
      </c>
    </row>
    <row r="103" spans="2:10" hidden="1" x14ac:dyDescent="0.45">
      <c r="B103" s="170" t="s">
        <v>681</v>
      </c>
      <c r="C103" s="170" t="s">
        <v>375</v>
      </c>
      <c r="D103" s="170" t="s">
        <v>680</v>
      </c>
      <c r="E103" s="170"/>
      <c r="F103" s="170" t="s">
        <v>398</v>
      </c>
      <c r="G103" s="170" t="s">
        <v>394</v>
      </c>
      <c r="H103" s="169" t="s">
        <v>372</v>
      </c>
      <c r="I103" s="168">
        <v>-2614.4499999999998</v>
      </c>
      <c r="J103" s="168">
        <v>2174344.27</v>
      </c>
    </row>
    <row r="104" spans="2:10" hidden="1" x14ac:dyDescent="0.45">
      <c r="B104" s="170" t="s">
        <v>681</v>
      </c>
      <c r="C104" s="170" t="s">
        <v>375</v>
      </c>
      <c r="D104" s="170" t="s">
        <v>680</v>
      </c>
      <c r="E104" s="170"/>
      <c r="F104" s="170" t="s">
        <v>378</v>
      </c>
      <c r="G104" s="170" t="s">
        <v>394</v>
      </c>
      <c r="H104" s="169" t="s">
        <v>372</v>
      </c>
      <c r="I104" s="168">
        <v>870.7</v>
      </c>
      <c r="J104" s="168">
        <v>2175214.9700000002</v>
      </c>
    </row>
    <row r="105" spans="2:10" hidden="1" x14ac:dyDescent="0.45">
      <c r="B105" s="170" t="s">
        <v>681</v>
      </c>
      <c r="C105" s="170" t="s">
        <v>375</v>
      </c>
      <c r="D105" s="170" t="s">
        <v>680</v>
      </c>
      <c r="E105" s="170"/>
      <c r="F105" s="170" t="s">
        <v>374</v>
      </c>
      <c r="G105" s="170" t="s">
        <v>394</v>
      </c>
      <c r="H105" s="169" t="s">
        <v>372</v>
      </c>
      <c r="I105" s="168">
        <v>-870.7</v>
      </c>
      <c r="J105" s="168">
        <v>2174344.27</v>
      </c>
    </row>
    <row r="106" spans="2:10" hidden="1" x14ac:dyDescent="0.45">
      <c r="B106" s="170" t="s">
        <v>677</v>
      </c>
      <c r="C106" s="170" t="s">
        <v>375</v>
      </c>
      <c r="D106" s="170" t="s">
        <v>679</v>
      </c>
      <c r="E106" s="170"/>
      <c r="F106" s="170" t="s">
        <v>662</v>
      </c>
      <c r="G106" s="170" t="s">
        <v>394</v>
      </c>
      <c r="H106" s="169" t="s">
        <v>372</v>
      </c>
      <c r="I106" s="168">
        <v>-381.91</v>
      </c>
      <c r="J106" s="168">
        <v>2173962.36</v>
      </c>
    </row>
    <row r="107" spans="2:10" hidden="1" x14ac:dyDescent="0.45">
      <c r="B107" s="170" t="s">
        <v>677</v>
      </c>
      <c r="C107" s="170" t="s">
        <v>375</v>
      </c>
      <c r="D107" s="170" t="s">
        <v>679</v>
      </c>
      <c r="E107" s="170"/>
      <c r="F107" s="170" t="s">
        <v>378</v>
      </c>
      <c r="G107" s="170" t="s">
        <v>394</v>
      </c>
      <c r="H107" s="169" t="s">
        <v>372</v>
      </c>
      <c r="I107" s="168">
        <v>870.54</v>
      </c>
      <c r="J107" s="168">
        <v>2174832.9</v>
      </c>
    </row>
    <row r="108" spans="2:10" hidden="1" x14ac:dyDescent="0.45">
      <c r="B108" s="170" t="s">
        <v>677</v>
      </c>
      <c r="C108" s="170" t="s">
        <v>375</v>
      </c>
      <c r="D108" s="170" t="s">
        <v>679</v>
      </c>
      <c r="E108" s="170"/>
      <c r="F108" s="170" t="s">
        <v>374</v>
      </c>
      <c r="G108" s="170" t="s">
        <v>394</v>
      </c>
      <c r="H108" s="169" t="s">
        <v>372</v>
      </c>
      <c r="I108" s="168">
        <v>-870.54</v>
      </c>
      <c r="J108" s="168">
        <v>2173962.36</v>
      </c>
    </row>
    <row r="109" spans="2:10" hidden="1" x14ac:dyDescent="0.45">
      <c r="B109" s="170" t="s">
        <v>677</v>
      </c>
      <c r="C109" s="170" t="s">
        <v>375</v>
      </c>
      <c r="D109" s="170" t="s">
        <v>679</v>
      </c>
      <c r="E109" s="170"/>
      <c r="F109" s="170" t="s">
        <v>666</v>
      </c>
      <c r="G109" s="170" t="s">
        <v>394</v>
      </c>
      <c r="H109" s="169" t="s">
        <v>372</v>
      </c>
      <c r="I109" s="168">
        <v>-914.32</v>
      </c>
      <c r="J109" s="168">
        <v>2173048.04</v>
      </c>
    </row>
    <row r="110" spans="2:10" hidden="1" x14ac:dyDescent="0.45">
      <c r="B110" s="170" t="s">
        <v>677</v>
      </c>
      <c r="C110" s="170" t="s">
        <v>375</v>
      </c>
      <c r="D110" s="170" t="s">
        <v>679</v>
      </c>
      <c r="E110" s="170"/>
      <c r="F110" s="170" t="s">
        <v>665</v>
      </c>
      <c r="G110" s="170" t="s">
        <v>394</v>
      </c>
      <c r="H110" s="169" t="s">
        <v>372</v>
      </c>
      <c r="I110" s="168">
        <v>-824.29</v>
      </c>
      <c r="J110" s="168">
        <v>2172223.75</v>
      </c>
    </row>
    <row r="111" spans="2:10" hidden="1" x14ac:dyDescent="0.45">
      <c r="B111" s="170" t="s">
        <v>677</v>
      </c>
      <c r="C111" s="170" t="s">
        <v>375</v>
      </c>
      <c r="D111" s="170" t="s">
        <v>679</v>
      </c>
      <c r="E111" s="170"/>
      <c r="F111" s="170" t="s">
        <v>664</v>
      </c>
      <c r="G111" s="170" t="s">
        <v>394</v>
      </c>
      <c r="H111" s="169" t="s">
        <v>372</v>
      </c>
      <c r="I111" s="168">
        <v>227676.22</v>
      </c>
      <c r="J111" s="168">
        <v>2399899.9700000002</v>
      </c>
    </row>
    <row r="112" spans="2:10" hidden="1" x14ac:dyDescent="0.45">
      <c r="B112" s="170" t="s">
        <v>677</v>
      </c>
      <c r="C112" s="170" t="s">
        <v>375</v>
      </c>
      <c r="D112" s="170" t="s">
        <v>679</v>
      </c>
      <c r="E112" s="170"/>
      <c r="F112" s="170" t="s">
        <v>663</v>
      </c>
      <c r="G112" s="170" t="s">
        <v>394</v>
      </c>
      <c r="H112" s="169" t="s">
        <v>372</v>
      </c>
      <c r="I112" s="168">
        <v>-13450.7</v>
      </c>
      <c r="J112" s="168">
        <v>2386449.27</v>
      </c>
    </row>
    <row r="113" spans="2:10" hidden="1" x14ac:dyDescent="0.45">
      <c r="B113" s="170" t="s">
        <v>677</v>
      </c>
      <c r="C113" s="170" t="s">
        <v>396</v>
      </c>
      <c r="D113" s="170"/>
      <c r="E113" s="170" t="s">
        <v>395</v>
      </c>
      <c r="F113" s="170" t="s">
        <v>678</v>
      </c>
      <c r="G113" s="170" t="s">
        <v>394</v>
      </c>
      <c r="H113" s="170" t="s">
        <v>393</v>
      </c>
      <c r="I113" s="168">
        <v>4581.96</v>
      </c>
      <c r="J113" s="168">
        <v>2391031.23</v>
      </c>
    </row>
    <row r="114" spans="2:10" hidden="1" x14ac:dyDescent="0.45">
      <c r="B114" s="170" t="s">
        <v>677</v>
      </c>
      <c r="C114" s="170" t="s">
        <v>396</v>
      </c>
      <c r="D114" s="170"/>
      <c r="E114" s="170" t="s">
        <v>395</v>
      </c>
      <c r="F114" s="170" t="s">
        <v>676</v>
      </c>
      <c r="G114" s="170" t="s">
        <v>394</v>
      </c>
      <c r="H114" s="170" t="s">
        <v>393</v>
      </c>
      <c r="I114" s="168">
        <v>103.09</v>
      </c>
      <c r="J114" s="168">
        <v>2391134.3199999998</v>
      </c>
    </row>
    <row r="115" spans="2:10" hidden="1" x14ac:dyDescent="0.45">
      <c r="B115" s="170" t="s">
        <v>675</v>
      </c>
      <c r="C115" s="170" t="s">
        <v>375</v>
      </c>
      <c r="D115" s="170" t="s">
        <v>674</v>
      </c>
      <c r="E115" s="170"/>
      <c r="F115" s="170" t="s">
        <v>666</v>
      </c>
      <c r="G115" s="170" t="s">
        <v>394</v>
      </c>
      <c r="H115" s="169" t="s">
        <v>372</v>
      </c>
      <c r="I115" s="168">
        <v>-914.32</v>
      </c>
      <c r="J115" s="168">
        <v>2390220</v>
      </c>
    </row>
    <row r="116" spans="2:10" hidden="1" x14ac:dyDescent="0.45">
      <c r="B116" s="170" t="s">
        <v>675</v>
      </c>
      <c r="C116" s="170" t="s">
        <v>375</v>
      </c>
      <c r="D116" s="170" t="s">
        <v>674</v>
      </c>
      <c r="E116" s="170"/>
      <c r="F116" s="170" t="s">
        <v>665</v>
      </c>
      <c r="G116" s="170" t="s">
        <v>394</v>
      </c>
      <c r="H116" s="169" t="s">
        <v>372</v>
      </c>
      <c r="I116" s="168">
        <v>-824.29</v>
      </c>
      <c r="J116" s="168">
        <v>2389395.71</v>
      </c>
    </row>
    <row r="117" spans="2:10" hidden="1" x14ac:dyDescent="0.45">
      <c r="B117" s="170" t="s">
        <v>675</v>
      </c>
      <c r="C117" s="170" t="s">
        <v>375</v>
      </c>
      <c r="D117" s="170" t="s">
        <v>674</v>
      </c>
      <c r="E117" s="170"/>
      <c r="F117" s="170" t="s">
        <v>664</v>
      </c>
      <c r="G117" s="170" t="s">
        <v>394</v>
      </c>
      <c r="H117" s="169" t="s">
        <v>372</v>
      </c>
      <c r="I117" s="168">
        <v>238842.17</v>
      </c>
      <c r="J117" s="168">
        <v>2628237.88</v>
      </c>
    </row>
    <row r="118" spans="2:10" hidden="1" x14ac:dyDescent="0.45">
      <c r="B118" s="170" t="s">
        <v>675</v>
      </c>
      <c r="C118" s="170" t="s">
        <v>375</v>
      </c>
      <c r="D118" s="170" t="s">
        <v>674</v>
      </c>
      <c r="E118" s="170"/>
      <c r="F118" s="170" t="s">
        <v>663</v>
      </c>
      <c r="G118" s="170" t="s">
        <v>394</v>
      </c>
      <c r="H118" s="169" t="s">
        <v>372</v>
      </c>
      <c r="I118" s="168">
        <v>-14148.41</v>
      </c>
      <c r="J118" s="168">
        <v>2614089.4700000002</v>
      </c>
    </row>
    <row r="119" spans="2:10" hidden="1" x14ac:dyDescent="0.45">
      <c r="B119" s="170" t="s">
        <v>675</v>
      </c>
      <c r="C119" s="170" t="s">
        <v>375</v>
      </c>
      <c r="D119" s="170" t="s">
        <v>674</v>
      </c>
      <c r="E119" s="170"/>
      <c r="F119" s="170" t="s">
        <v>662</v>
      </c>
      <c r="G119" s="170" t="s">
        <v>394</v>
      </c>
      <c r="H119" s="169" t="s">
        <v>372</v>
      </c>
      <c r="I119" s="168">
        <v>-381.91</v>
      </c>
      <c r="J119" s="168">
        <v>2613707.56</v>
      </c>
    </row>
    <row r="120" spans="2:10" hidden="1" x14ac:dyDescent="0.45">
      <c r="B120" s="170" t="s">
        <v>675</v>
      </c>
      <c r="C120" s="170" t="s">
        <v>375</v>
      </c>
      <c r="D120" s="170" t="s">
        <v>674</v>
      </c>
      <c r="E120" s="170"/>
      <c r="F120" s="170" t="s">
        <v>398</v>
      </c>
      <c r="G120" s="170" t="s">
        <v>394</v>
      </c>
      <c r="H120" s="169" t="s">
        <v>372</v>
      </c>
      <c r="I120" s="168">
        <v>-2687.31</v>
      </c>
      <c r="J120" s="168">
        <v>2611020.25</v>
      </c>
    </row>
    <row r="121" spans="2:10" hidden="1" x14ac:dyDescent="0.45">
      <c r="B121" s="170" t="s">
        <v>675</v>
      </c>
      <c r="C121" s="170" t="s">
        <v>375</v>
      </c>
      <c r="D121" s="170" t="s">
        <v>674</v>
      </c>
      <c r="E121" s="170"/>
      <c r="F121" s="170" t="s">
        <v>378</v>
      </c>
      <c r="G121" s="170" t="s">
        <v>394</v>
      </c>
      <c r="H121" s="169" t="s">
        <v>372</v>
      </c>
      <c r="I121" s="168">
        <v>915.26</v>
      </c>
      <c r="J121" s="168">
        <v>2611935.5099999998</v>
      </c>
    </row>
    <row r="122" spans="2:10" hidden="1" x14ac:dyDescent="0.45">
      <c r="B122" s="170" t="s">
        <v>675</v>
      </c>
      <c r="C122" s="170" t="s">
        <v>375</v>
      </c>
      <c r="D122" s="170" t="s">
        <v>674</v>
      </c>
      <c r="E122" s="170"/>
      <c r="F122" s="170" t="s">
        <v>374</v>
      </c>
      <c r="G122" s="170" t="s">
        <v>394</v>
      </c>
      <c r="H122" s="169" t="s">
        <v>372</v>
      </c>
      <c r="I122" s="168">
        <v>-915.26</v>
      </c>
      <c r="J122" s="168">
        <v>2611020.25</v>
      </c>
    </row>
    <row r="123" spans="2:10" hidden="1" x14ac:dyDescent="0.45">
      <c r="B123" s="170" t="s">
        <v>673</v>
      </c>
      <c r="C123" s="170" t="s">
        <v>375</v>
      </c>
      <c r="D123" s="170" t="s">
        <v>672</v>
      </c>
      <c r="E123" s="170"/>
      <c r="F123" s="170" t="s">
        <v>666</v>
      </c>
      <c r="G123" s="170" t="s">
        <v>394</v>
      </c>
      <c r="H123" s="169" t="s">
        <v>372</v>
      </c>
      <c r="I123" s="168">
        <v>-914.32</v>
      </c>
      <c r="J123" s="168">
        <v>2610105.9300000002</v>
      </c>
    </row>
    <row r="124" spans="2:10" hidden="1" x14ac:dyDescent="0.45">
      <c r="B124" s="170" t="s">
        <v>673</v>
      </c>
      <c r="C124" s="170" t="s">
        <v>375</v>
      </c>
      <c r="D124" s="170" t="s">
        <v>672</v>
      </c>
      <c r="E124" s="170"/>
      <c r="F124" s="170" t="s">
        <v>665</v>
      </c>
      <c r="G124" s="170" t="s">
        <v>394</v>
      </c>
      <c r="H124" s="169" t="s">
        <v>372</v>
      </c>
      <c r="I124" s="168">
        <v>-824.29</v>
      </c>
      <c r="J124" s="168">
        <v>2609281.64</v>
      </c>
    </row>
    <row r="125" spans="2:10" hidden="1" x14ac:dyDescent="0.45">
      <c r="B125" s="170" t="s">
        <v>673</v>
      </c>
      <c r="C125" s="170" t="s">
        <v>375</v>
      </c>
      <c r="D125" s="170" t="s">
        <v>672</v>
      </c>
      <c r="E125" s="170"/>
      <c r="F125" s="170" t="s">
        <v>664</v>
      </c>
      <c r="G125" s="170" t="s">
        <v>394</v>
      </c>
      <c r="H125" s="169" t="s">
        <v>372</v>
      </c>
      <c r="I125" s="168">
        <v>237559.41</v>
      </c>
      <c r="J125" s="168">
        <v>2846841.05</v>
      </c>
    </row>
    <row r="126" spans="2:10" hidden="1" x14ac:dyDescent="0.45">
      <c r="B126" s="170" t="s">
        <v>673</v>
      </c>
      <c r="C126" s="170" t="s">
        <v>375</v>
      </c>
      <c r="D126" s="170" t="s">
        <v>672</v>
      </c>
      <c r="E126" s="170"/>
      <c r="F126" s="170" t="s">
        <v>663</v>
      </c>
      <c r="G126" s="170" t="s">
        <v>394</v>
      </c>
      <c r="H126" s="169" t="s">
        <v>372</v>
      </c>
      <c r="I126" s="168">
        <v>-14041.9</v>
      </c>
      <c r="J126" s="168">
        <v>2832799.15</v>
      </c>
    </row>
    <row r="127" spans="2:10" hidden="1" x14ac:dyDescent="0.45">
      <c r="B127" s="170" t="s">
        <v>673</v>
      </c>
      <c r="C127" s="170" t="s">
        <v>375</v>
      </c>
      <c r="D127" s="170" t="s">
        <v>672</v>
      </c>
      <c r="E127" s="170"/>
      <c r="F127" s="170" t="s">
        <v>662</v>
      </c>
      <c r="G127" s="170" t="s">
        <v>394</v>
      </c>
      <c r="H127" s="169" t="s">
        <v>372</v>
      </c>
      <c r="I127" s="168">
        <v>-381.91</v>
      </c>
      <c r="J127" s="168">
        <v>2832417.24</v>
      </c>
    </row>
    <row r="128" spans="2:10" hidden="1" x14ac:dyDescent="0.45">
      <c r="B128" s="170" t="s">
        <v>673</v>
      </c>
      <c r="C128" s="170" t="s">
        <v>375</v>
      </c>
      <c r="D128" s="170" t="s">
        <v>672</v>
      </c>
      <c r="E128" s="170"/>
      <c r="F128" s="170" t="s">
        <v>398</v>
      </c>
      <c r="G128" s="170" t="s">
        <v>394</v>
      </c>
      <c r="H128" s="169" t="s">
        <v>372</v>
      </c>
      <c r="I128" s="168">
        <v>-2668.23</v>
      </c>
      <c r="J128" s="168">
        <v>2829749.01</v>
      </c>
    </row>
    <row r="129" spans="2:10" hidden="1" x14ac:dyDescent="0.45">
      <c r="B129" s="170" t="s">
        <v>673</v>
      </c>
      <c r="C129" s="170" t="s">
        <v>375</v>
      </c>
      <c r="D129" s="170" t="s">
        <v>672</v>
      </c>
      <c r="E129" s="170"/>
      <c r="F129" s="170" t="s">
        <v>378</v>
      </c>
      <c r="G129" s="170" t="s">
        <v>394</v>
      </c>
      <c r="H129" s="169" t="s">
        <v>372</v>
      </c>
      <c r="I129" s="168">
        <v>925.62</v>
      </c>
      <c r="J129" s="168">
        <v>2830674.63</v>
      </c>
    </row>
    <row r="130" spans="2:10" hidden="1" x14ac:dyDescent="0.45">
      <c r="B130" s="170" t="s">
        <v>673</v>
      </c>
      <c r="C130" s="170" t="s">
        <v>375</v>
      </c>
      <c r="D130" s="170" t="s">
        <v>672</v>
      </c>
      <c r="E130" s="170"/>
      <c r="F130" s="170" t="s">
        <v>374</v>
      </c>
      <c r="G130" s="170" t="s">
        <v>394</v>
      </c>
      <c r="H130" s="169" t="s">
        <v>372</v>
      </c>
      <c r="I130" s="168">
        <v>-925.62</v>
      </c>
      <c r="J130" s="168">
        <v>2829749.01</v>
      </c>
    </row>
    <row r="131" spans="2:10" hidden="1" x14ac:dyDescent="0.45">
      <c r="B131" s="170" t="s">
        <v>670</v>
      </c>
      <c r="C131" s="170" t="s">
        <v>396</v>
      </c>
      <c r="D131" s="170"/>
      <c r="E131" s="170" t="s">
        <v>395</v>
      </c>
      <c r="F131" s="170" t="s">
        <v>671</v>
      </c>
      <c r="G131" s="170" t="s">
        <v>394</v>
      </c>
      <c r="H131" s="170" t="s">
        <v>393</v>
      </c>
      <c r="I131" s="168">
        <v>3400.74</v>
      </c>
      <c r="J131" s="168">
        <v>2833149.75</v>
      </c>
    </row>
    <row r="132" spans="2:10" hidden="1" x14ac:dyDescent="0.45">
      <c r="B132" s="170" t="s">
        <v>670</v>
      </c>
      <c r="C132" s="170" t="s">
        <v>396</v>
      </c>
      <c r="D132" s="170"/>
      <c r="E132" s="170" t="s">
        <v>395</v>
      </c>
      <c r="F132" s="170" t="s">
        <v>669</v>
      </c>
      <c r="G132" s="170" t="s">
        <v>394</v>
      </c>
      <c r="H132" s="170" t="s">
        <v>393</v>
      </c>
      <c r="I132" s="168">
        <v>76.52</v>
      </c>
      <c r="J132" s="168">
        <v>2833226.27</v>
      </c>
    </row>
    <row r="133" spans="2:10" hidden="1" x14ac:dyDescent="0.45">
      <c r="B133" s="170" t="s">
        <v>668</v>
      </c>
      <c r="C133" s="170" t="s">
        <v>375</v>
      </c>
      <c r="D133" s="170" t="s">
        <v>667</v>
      </c>
      <c r="E133" s="170"/>
      <c r="F133" s="170" t="s">
        <v>666</v>
      </c>
      <c r="G133" s="170" t="s">
        <v>394</v>
      </c>
      <c r="H133" s="169" t="s">
        <v>372</v>
      </c>
      <c r="I133" s="168">
        <v>-1388.74</v>
      </c>
      <c r="J133" s="168">
        <v>2831837.53</v>
      </c>
    </row>
    <row r="134" spans="2:10" hidden="1" x14ac:dyDescent="0.45">
      <c r="B134" s="170" t="s">
        <v>668</v>
      </c>
      <c r="C134" s="170" t="s">
        <v>375</v>
      </c>
      <c r="D134" s="170" t="s">
        <v>667</v>
      </c>
      <c r="E134" s="170"/>
      <c r="F134" s="170" t="s">
        <v>665</v>
      </c>
      <c r="G134" s="170" t="s">
        <v>394</v>
      </c>
      <c r="H134" s="169" t="s">
        <v>372</v>
      </c>
      <c r="I134" s="168">
        <v>-824.29</v>
      </c>
      <c r="J134" s="168">
        <v>2831013.24</v>
      </c>
    </row>
    <row r="135" spans="2:10" hidden="1" x14ac:dyDescent="0.45">
      <c r="B135" s="170" t="s">
        <v>668</v>
      </c>
      <c r="C135" s="170" t="s">
        <v>375</v>
      </c>
      <c r="D135" s="170" t="s">
        <v>667</v>
      </c>
      <c r="E135" s="170"/>
      <c r="F135" s="170" t="s">
        <v>664</v>
      </c>
      <c r="G135" s="170" t="s">
        <v>394</v>
      </c>
      <c r="H135" s="169" t="s">
        <v>372</v>
      </c>
      <c r="I135" s="168">
        <v>234699.64</v>
      </c>
      <c r="J135" s="168">
        <v>3065712.88</v>
      </c>
    </row>
    <row r="136" spans="2:10" hidden="1" x14ac:dyDescent="0.45">
      <c r="B136" s="170" t="s">
        <v>668</v>
      </c>
      <c r="C136" s="170" t="s">
        <v>375</v>
      </c>
      <c r="D136" s="170" t="s">
        <v>667</v>
      </c>
      <c r="E136" s="170"/>
      <c r="F136" s="170" t="s">
        <v>663</v>
      </c>
      <c r="G136" s="170" t="s">
        <v>394</v>
      </c>
      <c r="H136" s="169" t="s">
        <v>372</v>
      </c>
      <c r="I136" s="168">
        <v>-14104.3</v>
      </c>
      <c r="J136" s="168">
        <v>3051608.58</v>
      </c>
    </row>
    <row r="137" spans="2:10" hidden="1" x14ac:dyDescent="0.45">
      <c r="B137" s="170" t="s">
        <v>668</v>
      </c>
      <c r="C137" s="170" t="s">
        <v>375</v>
      </c>
      <c r="D137" s="170" t="s">
        <v>667</v>
      </c>
      <c r="E137" s="170"/>
      <c r="F137" s="170" t="s">
        <v>662</v>
      </c>
      <c r="G137" s="170" t="s">
        <v>394</v>
      </c>
      <c r="H137" s="169" t="s">
        <v>372</v>
      </c>
      <c r="I137" s="168">
        <v>-381.91</v>
      </c>
      <c r="J137" s="168">
        <v>3051226.67</v>
      </c>
    </row>
    <row r="138" spans="2:10" hidden="1" x14ac:dyDescent="0.45">
      <c r="B138" s="170" t="s">
        <v>668</v>
      </c>
      <c r="C138" s="170" t="s">
        <v>375</v>
      </c>
      <c r="D138" s="170" t="s">
        <v>667</v>
      </c>
      <c r="E138" s="170"/>
      <c r="F138" s="170" t="s">
        <v>398</v>
      </c>
      <c r="G138" s="170" t="s">
        <v>394</v>
      </c>
      <c r="H138" s="169" t="s">
        <v>372</v>
      </c>
      <c r="I138" s="168">
        <v>-2692.5</v>
      </c>
      <c r="J138" s="168">
        <v>3048534.17</v>
      </c>
    </row>
    <row r="139" spans="2:10" hidden="1" x14ac:dyDescent="0.45">
      <c r="B139" s="170" t="s">
        <v>668</v>
      </c>
      <c r="C139" s="170" t="s">
        <v>375</v>
      </c>
      <c r="D139" s="170" t="s">
        <v>667</v>
      </c>
      <c r="E139" s="170"/>
      <c r="F139" s="170" t="s">
        <v>378</v>
      </c>
      <c r="G139" s="170" t="s">
        <v>394</v>
      </c>
      <c r="H139" s="169" t="s">
        <v>372</v>
      </c>
      <c r="I139" s="168">
        <v>921.12</v>
      </c>
      <c r="J139" s="168">
        <v>3049455.29</v>
      </c>
    </row>
    <row r="140" spans="2:10" hidden="1" x14ac:dyDescent="0.45">
      <c r="B140" s="170" t="s">
        <v>668</v>
      </c>
      <c r="C140" s="170" t="s">
        <v>375</v>
      </c>
      <c r="D140" s="170" t="s">
        <v>667</v>
      </c>
      <c r="E140" s="170"/>
      <c r="F140" s="170" t="s">
        <v>374</v>
      </c>
      <c r="G140" s="170" t="s">
        <v>394</v>
      </c>
      <c r="H140" s="169" t="s">
        <v>372</v>
      </c>
      <c r="I140" s="168">
        <v>-921.12</v>
      </c>
      <c r="J140" s="168">
        <v>3048534.17</v>
      </c>
    </row>
    <row r="141" spans="2:10" hidden="1" x14ac:dyDescent="0.45">
      <c r="B141" s="170" t="s">
        <v>661</v>
      </c>
      <c r="C141" s="170" t="s">
        <v>375</v>
      </c>
      <c r="D141" s="170" t="s">
        <v>660</v>
      </c>
      <c r="E141" s="170"/>
      <c r="F141" s="170" t="s">
        <v>666</v>
      </c>
      <c r="G141" s="170" t="s">
        <v>394</v>
      </c>
      <c r="H141" s="169" t="s">
        <v>372</v>
      </c>
      <c r="I141" s="168">
        <v>-1388.74</v>
      </c>
      <c r="J141" s="168">
        <v>3047145.43</v>
      </c>
    </row>
    <row r="142" spans="2:10" hidden="1" x14ac:dyDescent="0.45">
      <c r="B142" s="170" t="s">
        <v>661</v>
      </c>
      <c r="C142" s="170" t="s">
        <v>375</v>
      </c>
      <c r="D142" s="170" t="s">
        <v>660</v>
      </c>
      <c r="E142" s="170"/>
      <c r="F142" s="170" t="s">
        <v>665</v>
      </c>
      <c r="G142" s="170" t="s">
        <v>394</v>
      </c>
      <c r="H142" s="169" t="s">
        <v>372</v>
      </c>
      <c r="I142" s="168">
        <v>-824.29</v>
      </c>
      <c r="J142" s="168">
        <v>3046321.14</v>
      </c>
    </row>
    <row r="143" spans="2:10" hidden="1" x14ac:dyDescent="0.45">
      <c r="B143" s="170" t="s">
        <v>661</v>
      </c>
      <c r="C143" s="170" t="s">
        <v>375</v>
      </c>
      <c r="D143" s="170" t="s">
        <v>660</v>
      </c>
      <c r="E143" s="170"/>
      <c r="F143" s="170" t="s">
        <v>664</v>
      </c>
      <c r="G143" s="170" t="s">
        <v>394</v>
      </c>
      <c r="H143" s="169" t="s">
        <v>372</v>
      </c>
      <c r="I143" s="168">
        <v>227637.36</v>
      </c>
      <c r="J143" s="168">
        <v>3273958.5</v>
      </c>
    </row>
    <row r="144" spans="2:10" hidden="1" x14ac:dyDescent="0.45">
      <c r="B144" s="170" t="s">
        <v>661</v>
      </c>
      <c r="C144" s="170" t="s">
        <v>375</v>
      </c>
      <c r="D144" s="170" t="s">
        <v>660</v>
      </c>
      <c r="E144" s="170"/>
      <c r="F144" s="170" t="s">
        <v>663</v>
      </c>
      <c r="G144" s="170" t="s">
        <v>394</v>
      </c>
      <c r="H144" s="169" t="s">
        <v>372</v>
      </c>
      <c r="I144" s="168">
        <v>-13916.63</v>
      </c>
      <c r="J144" s="168">
        <v>3260041.87</v>
      </c>
    </row>
    <row r="145" spans="1:10" hidden="1" x14ac:dyDescent="0.45">
      <c r="B145" s="170" t="s">
        <v>661</v>
      </c>
      <c r="C145" s="170" t="s">
        <v>375</v>
      </c>
      <c r="D145" s="170" t="s">
        <v>660</v>
      </c>
      <c r="E145" s="170"/>
      <c r="F145" s="170" t="s">
        <v>662</v>
      </c>
      <c r="G145" s="170" t="s">
        <v>394</v>
      </c>
      <c r="H145" s="169" t="s">
        <v>372</v>
      </c>
      <c r="I145" s="168">
        <v>-381.91</v>
      </c>
      <c r="J145" s="168">
        <v>3259659.96</v>
      </c>
    </row>
    <row r="146" spans="1:10" hidden="1" x14ac:dyDescent="0.45">
      <c r="B146" s="170" t="s">
        <v>661</v>
      </c>
      <c r="C146" s="170" t="s">
        <v>375</v>
      </c>
      <c r="D146" s="170" t="s">
        <v>660</v>
      </c>
      <c r="E146" s="170"/>
      <c r="F146" s="170" t="s">
        <v>398</v>
      </c>
      <c r="G146" s="170" t="s">
        <v>394</v>
      </c>
      <c r="H146" s="169" t="s">
        <v>372</v>
      </c>
      <c r="I146" s="168">
        <v>-2696.78</v>
      </c>
      <c r="J146" s="168">
        <v>3256963.18</v>
      </c>
    </row>
    <row r="147" spans="1:10" hidden="1" x14ac:dyDescent="0.45">
      <c r="B147" s="170" t="s">
        <v>661</v>
      </c>
      <c r="C147" s="170" t="s">
        <v>375</v>
      </c>
      <c r="D147" s="170" t="s">
        <v>660</v>
      </c>
      <c r="E147" s="170"/>
      <c r="F147" s="170" t="s">
        <v>378</v>
      </c>
      <c r="G147" s="170" t="s">
        <v>394</v>
      </c>
      <c r="H147" s="169" t="s">
        <v>372</v>
      </c>
      <c r="I147" s="168">
        <v>902.13</v>
      </c>
      <c r="J147" s="168">
        <v>3257865.31</v>
      </c>
    </row>
    <row r="148" spans="1:10" hidden="1" x14ac:dyDescent="0.45">
      <c r="B148" s="170" t="s">
        <v>661</v>
      </c>
      <c r="C148" s="170" t="s">
        <v>375</v>
      </c>
      <c r="D148" s="170" t="s">
        <v>660</v>
      </c>
      <c r="E148" s="170"/>
      <c r="F148" s="170" t="s">
        <v>374</v>
      </c>
      <c r="G148" s="170" t="s">
        <v>394</v>
      </c>
      <c r="H148" s="169" t="s">
        <v>372</v>
      </c>
      <c r="I148" s="168">
        <v>-902.13</v>
      </c>
      <c r="J148" s="168">
        <v>3256963.18</v>
      </c>
    </row>
    <row r="149" spans="1:10" hidden="1" x14ac:dyDescent="0.45">
      <c r="A149" s="167" t="s">
        <v>309</v>
      </c>
      <c r="I149" s="166">
        <v>3256963.18</v>
      </c>
    </row>
    <row r="150" spans="1:10" hidden="1" x14ac:dyDescent="0.45"/>
    <row r="151" spans="1:10" hidden="1" x14ac:dyDescent="0.45"/>
    <row r="152" spans="1:10" hidden="1" x14ac:dyDescent="0.45">
      <c r="A152" s="449" t="s">
        <v>659</v>
      </c>
      <c r="B152" s="450"/>
      <c r="C152" s="450"/>
      <c r="D152" s="450"/>
      <c r="E152" s="450"/>
      <c r="F152" s="450"/>
      <c r="G152" s="450"/>
      <c r="H152" s="450"/>
      <c r="I152" s="450"/>
      <c r="J152" s="450"/>
    </row>
    <row r="153" spans="1:10" hidden="1" x14ac:dyDescent="0.45"/>
    <row r="154" spans="1:10" hidden="1" x14ac:dyDescent="0.45"/>
    <row r="155" spans="1:10" hidden="1" x14ac:dyDescent="0.45"/>
    <row r="156" spans="1:10" hidden="1" x14ac:dyDescent="0.45"/>
    <row r="157" spans="1:10" hidden="1" x14ac:dyDescent="0.45"/>
    <row r="159" spans="1:10" x14ac:dyDescent="0.45">
      <c r="F159" s="204" t="s">
        <v>658</v>
      </c>
      <c r="G159" s="206">
        <f>I149</f>
        <v>3256963.18</v>
      </c>
    </row>
    <row r="161" spans="6:7" x14ac:dyDescent="0.45">
      <c r="F161" s="108" t="s">
        <v>657</v>
      </c>
      <c r="G161" s="202">
        <v>218242</v>
      </c>
    </row>
    <row r="162" spans="6:7" x14ac:dyDescent="0.45">
      <c r="F162" s="163"/>
      <c r="G162" s="205"/>
    </row>
    <row r="163" spans="6:7" x14ac:dyDescent="0.45">
      <c r="F163" s="201" t="s">
        <v>656</v>
      </c>
      <c r="G163" s="165"/>
    </row>
    <row r="164" spans="6:7" x14ac:dyDescent="0.45">
      <c r="F164" s="108" t="s">
        <v>655</v>
      </c>
      <c r="G164" s="165">
        <f>139313/26</f>
        <v>5358.1923076923076</v>
      </c>
    </row>
    <row r="165" spans="6:7" x14ac:dyDescent="0.45">
      <c r="F165" s="108" t="s">
        <v>654</v>
      </c>
      <c r="G165" s="165">
        <f>71274/26</f>
        <v>2741.3076923076924</v>
      </c>
    </row>
    <row r="166" spans="6:7" x14ac:dyDescent="0.45">
      <c r="F166" s="108" t="s">
        <v>653</v>
      </c>
      <c r="G166" s="165">
        <f>95576/26</f>
        <v>3676</v>
      </c>
    </row>
    <row r="167" spans="6:7" x14ac:dyDescent="0.45">
      <c r="G167" s="165"/>
    </row>
    <row r="168" spans="6:7" x14ac:dyDescent="0.45">
      <c r="F168" s="204" t="s">
        <v>652</v>
      </c>
      <c r="G168" s="203">
        <f>SUM(G161:G166)</f>
        <v>230017.5</v>
      </c>
    </row>
    <row r="169" spans="6:7" x14ac:dyDescent="0.45">
      <c r="G169" s="202"/>
    </row>
    <row r="170" spans="6:7" x14ac:dyDescent="0.45">
      <c r="F170" s="108" t="s">
        <v>651</v>
      </c>
      <c r="G170" s="202">
        <f>G168*11</f>
        <v>2530192.5</v>
      </c>
    </row>
    <row r="171" spans="6:7" x14ac:dyDescent="0.45">
      <c r="G171" s="202"/>
    </row>
    <row r="172" spans="6:7" x14ac:dyDescent="0.45">
      <c r="F172" s="108" t="s">
        <v>650</v>
      </c>
      <c r="G172" s="202">
        <f>G159+G170</f>
        <v>5787155.6799999997</v>
      </c>
    </row>
    <row r="173" spans="6:7" x14ac:dyDescent="0.45">
      <c r="G173" s="165"/>
    </row>
    <row r="174" spans="6:7" x14ac:dyDescent="0.45">
      <c r="F174" s="108" t="s">
        <v>649</v>
      </c>
      <c r="G174" s="165">
        <f>G172*0.03</f>
        <v>173614.67039999997</v>
      </c>
    </row>
    <row r="175" spans="6:7" ht="14.65" thickBot="1" x14ac:dyDescent="0.5">
      <c r="G175" s="165"/>
    </row>
    <row r="176" spans="6:7" ht="14.65" thickBot="1" x14ac:dyDescent="0.5">
      <c r="F176" s="200" t="s">
        <v>648</v>
      </c>
      <c r="G176" s="199">
        <f>G172+G174</f>
        <v>5960770.3503999999</v>
      </c>
    </row>
    <row r="178" spans="3:7" x14ac:dyDescent="0.45">
      <c r="F178" s="201" t="s">
        <v>647</v>
      </c>
    </row>
    <row r="179" spans="3:7" x14ac:dyDescent="0.45">
      <c r="F179" s="108" t="s">
        <v>646</v>
      </c>
      <c r="G179" s="165">
        <v>95576</v>
      </c>
    </row>
    <row r="180" spans="3:7" x14ac:dyDescent="0.45">
      <c r="C180" s="108">
        <f>27*70*26</f>
        <v>49140</v>
      </c>
      <c r="D180" s="108">
        <f>2000/C180</f>
        <v>4.0700040700040699E-2</v>
      </c>
      <c r="F180" s="108" t="s">
        <v>645</v>
      </c>
      <c r="G180" s="165">
        <v>51174</v>
      </c>
    </row>
    <row r="181" spans="3:7" x14ac:dyDescent="0.45">
      <c r="C181" s="108">
        <f>C180*1.04</f>
        <v>51105.599999999999</v>
      </c>
      <c r="D181" s="108">
        <f>3800/C180</f>
        <v>7.7330077330077324E-2</v>
      </c>
      <c r="F181" s="108" t="s">
        <v>769</v>
      </c>
      <c r="G181" s="165">
        <v>84253</v>
      </c>
    </row>
    <row r="183" spans="3:7" x14ac:dyDescent="0.45">
      <c r="F183" s="108" t="s">
        <v>644</v>
      </c>
      <c r="G183" s="164">
        <f>SUM(G176:G181)</f>
        <v>6191773.3503999999</v>
      </c>
    </row>
    <row r="185" spans="3:7" x14ac:dyDescent="0.45">
      <c r="F185" s="108" t="s">
        <v>643</v>
      </c>
      <c r="G185" s="165">
        <f>G183*0.02</f>
        <v>123835.46700800001</v>
      </c>
    </row>
    <row r="186" spans="3:7" ht="14.65" thickBot="1" x14ac:dyDescent="0.5"/>
    <row r="187" spans="3:7" ht="14.65" thickBot="1" x14ac:dyDescent="0.5">
      <c r="F187" s="200" t="s">
        <v>644</v>
      </c>
      <c r="G187" s="199">
        <f>G183+G185</f>
        <v>6315608.8174080001</v>
      </c>
    </row>
    <row r="189" spans="3:7" x14ac:dyDescent="0.45">
      <c r="F189" s="108" t="s">
        <v>643</v>
      </c>
      <c r="G189" s="165">
        <f>G187*0.02</f>
        <v>126312.17634816001</v>
      </c>
    </row>
    <row r="190" spans="3:7" ht="14.65" thickBot="1" x14ac:dyDescent="0.5"/>
    <row r="191" spans="3:7" ht="14.65" thickBot="1" x14ac:dyDescent="0.5">
      <c r="F191" s="200" t="s">
        <v>642</v>
      </c>
      <c r="G191" s="199">
        <f>G187+G189</f>
        <v>6441920.9937561601</v>
      </c>
    </row>
  </sheetData>
  <mergeCells count="4">
    <mergeCell ref="A152:J152"/>
    <mergeCell ref="A1:J1"/>
    <mergeCell ref="A2:J2"/>
    <mergeCell ref="A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0B2F1-C500-46E1-BEE2-9B8D6D365F99}">
  <dimension ref="A1:O21"/>
  <sheetViews>
    <sheetView zoomScale="115" zoomScaleNormal="115" workbookViewId="0">
      <selection activeCell="B2" sqref="B2"/>
    </sheetView>
  </sheetViews>
  <sheetFormatPr defaultColWidth="63.265625" defaultRowHeight="14.25" x14ac:dyDescent="0.45"/>
  <cols>
    <col min="1" max="1" width="27.265625" style="108" bestFit="1" customWidth="1"/>
    <col min="2" max="2" width="30.265625" style="108" customWidth="1"/>
    <col min="3" max="3" width="46.06640625" style="108" bestFit="1" customWidth="1"/>
    <col min="4" max="4" width="6.796875" style="108" bestFit="1" customWidth="1"/>
    <col min="5" max="5" width="24" style="108" bestFit="1" customWidth="1"/>
    <col min="6" max="6" width="44.33203125" style="108" bestFit="1" customWidth="1"/>
    <col min="7" max="7" width="13.33203125" style="108" bestFit="1" customWidth="1"/>
    <col min="8" max="8" width="11.33203125" style="108" bestFit="1" customWidth="1"/>
    <col min="9" max="9" width="19.33203125" style="108" bestFit="1" customWidth="1"/>
    <col min="10" max="10" width="10" style="108" bestFit="1" customWidth="1"/>
    <col min="11" max="11" width="24.06640625" style="108" bestFit="1" customWidth="1"/>
    <col min="12" max="12" width="18.06640625" style="108" bestFit="1" customWidth="1"/>
    <col min="13" max="13" width="7.73046875" style="108" bestFit="1" customWidth="1"/>
    <col min="14" max="14" width="37.33203125" style="108" bestFit="1" customWidth="1"/>
    <col min="15" max="15" width="12.06640625" style="108" bestFit="1" customWidth="1"/>
    <col min="16" max="16384" width="63.265625" style="108"/>
  </cols>
  <sheetData>
    <row r="1" spans="1:15" ht="18" customHeight="1" x14ac:dyDescent="0.45">
      <c r="A1" s="106" t="s">
        <v>108</v>
      </c>
      <c r="B1" s="107" t="s">
        <v>109</v>
      </c>
      <c r="C1" s="107" t="s">
        <v>110</v>
      </c>
      <c r="D1" s="107" t="s">
        <v>111</v>
      </c>
      <c r="E1" s="107" t="s">
        <v>112</v>
      </c>
      <c r="F1" s="107" t="s">
        <v>113</v>
      </c>
      <c r="G1" s="107" t="s">
        <v>114</v>
      </c>
      <c r="H1" s="107" t="s">
        <v>115</v>
      </c>
      <c r="I1" s="107" t="s">
        <v>116</v>
      </c>
      <c r="J1" s="107" t="s">
        <v>117</v>
      </c>
      <c r="K1" s="107" t="s">
        <v>118</v>
      </c>
      <c r="L1" s="107" t="s">
        <v>119</v>
      </c>
      <c r="M1" s="107" t="s">
        <v>120</v>
      </c>
      <c r="N1" s="107" t="s">
        <v>121</v>
      </c>
      <c r="O1" s="107" t="s">
        <v>122</v>
      </c>
    </row>
    <row r="2" spans="1:15" x14ac:dyDescent="0.45">
      <c r="A2" s="121">
        <v>45658</v>
      </c>
      <c r="B2" s="109" t="s">
        <v>125</v>
      </c>
      <c r="C2" s="109" t="s">
        <v>126</v>
      </c>
      <c r="D2" s="109" t="s">
        <v>127</v>
      </c>
      <c r="E2" s="110">
        <v>144172</v>
      </c>
      <c r="F2" s="110">
        <f>650</f>
        <v>650</v>
      </c>
      <c r="G2" s="111">
        <f>3167</f>
        <v>3167</v>
      </c>
      <c r="H2" s="111">
        <f>1245</f>
        <v>1245</v>
      </c>
      <c r="I2" s="110">
        <f t="shared" ref="I2:I3" si="0">E2*1.95%</f>
        <v>2811.3539999999998</v>
      </c>
      <c r="J2" s="110">
        <f t="shared" ref="J2" si="1">E2/100*0.42</f>
        <v>605.52239999999995</v>
      </c>
      <c r="K2" s="110">
        <v>225</v>
      </c>
      <c r="L2" s="110">
        <v>600</v>
      </c>
      <c r="M2" s="110">
        <v>0</v>
      </c>
      <c r="N2" s="110">
        <f t="shared" ref="N2" si="2">E2*14.5%</f>
        <v>20904.939999999999</v>
      </c>
      <c r="O2" s="110">
        <f t="shared" ref="O2" si="3">SUM(E2:N2)</f>
        <v>174380.81639999998</v>
      </c>
    </row>
    <row r="3" spans="1:15" x14ac:dyDescent="0.45">
      <c r="A3" s="121">
        <v>45658</v>
      </c>
      <c r="B3" s="109" t="s">
        <v>392</v>
      </c>
      <c r="C3" s="109" t="s">
        <v>123</v>
      </c>
      <c r="D3" s="109" t="s">
        <v>124</v>
      </c>
      <c r="E3" s="110">
        <v>115512</v>
      </c>
      <c r="F3" s="110">
        <f>650</f>
        <v>650</v>
      </c>
      <c r="G3" s="111">
        <f>3167</f>
        <v>3167</v>
      </c>
      <c r="H3" s="111">
        <f>1245</f>
        <v>1245</v>
      </c>
      <c r="I3" s="110">
        <f t="shared" si="0"/>
        <v>2252.4839999999999</v>
      </c>
      <c r="J3" s="110">
        <f t="shared" ref="J3" si="4">E3/100*0.42</f>
        <v>485.15039999999993</v>
      </c>
      <c r="K3" s="110">
        <v>225</v>
      </c>
      <c r="L3" s="110">
        <v>600</v>
      </c>
      <c r="M3" s="110">
        <v>0</v>
      </c>
      <c r="N3" s="110">
        <f t="shared" ref="N3" si="5">E3*14.5%</f>
        <v>16749.239999999998</v>
      </c>
      <c r="O3" s="110">
        <f t="shared" ref="O3" si="6">SUM(E3:N3)</f>
        <v>140885.8744</v>
      </c>
    </row>
    <row r="4" spans="1:15" x14ac:dyDescent="0.45">
      <c r="A4" s="121">
        <v>45658</v>
      </c>
      <c r="B4" s="109" t="s">
        <v>134</v>
      </c>
      <c r="C4" s="109" t="s">
        <v>123</v>
      </c>
      <c r="D4" s="109" t="s">
        <v>124</v>
      </c>
      <c r="E4" s="173">
        <v>115512</v>
      </c>
      <c r="F4" s="173">
        <f>650</f>
        <v>650</v>
      </c>
      <c r="G4" s="174">
        <f>3167</f>
        <v>3167</v>
      </c>
      <c r="H4" s="174">
        <f>1245</f>
        <v>1245</v>
      </c>
      <c r="I4" s="173">
        <f t="shared" ref="I4" si="7">E4*1.95%</f>
        <v>2252.4839999999999</v>
      </c>
      <c r="J4" s="173">
        <f t="shared" ref="J4" si="8">E4/100*0.42</f>
        <v>485.15039999999993</v>
      </c>
      <c r="K4" s="173">
        <v>225</v>
      </c>
      <c r="L4" s="173">
        <v>600</v>
      </c>
      <c r="M4" s="173">
        <v>0</v>
      </c>
      <c r="N4" s="173">
        <f t="shared" ref="N4" si="9">E4*14.5%</f>
        <v>16749.239999999998</v>
      </c>
      <c r="O4" s="173">
        <f t="shared" ref="O4" si="10">SUM(E4:N4)</f>
        <v>140885.8744</v>
      </c>
    </row>
    <row r="5" spans="1:15" x14ac:dyDescent="0.45">
      <c r="B5" s="109"/>
      <c r="C5" s="109"/>
      <c r="D5" s="109"/>
      <c r="E5" s="172">
        <f>SUM(E2:E4)</f>
        <v>375196</v>
      </c>
      <c r="F5" s="172">
        <f t="shared" ref="F5:O5" si="11">SUM(F2:F4)</f>
        <v>1950</v>
      </c>
      <c r="G5" s="172">
        <f t="shared" si="11"/>
        <v>9501</v>
      </c>
      <c r="H5" s="172">
        <f t="shared" si="11"/>
        <v>3735</v>
      </c>
      <c r="I5" s="172">
        <f t="shared" si="11"/>
        <v>7316.3220000000001</v>
      </c>
      <c r="J5" s="172">
        <f t="shared" si="11"/>
        <v>1575.8231999999998</v>
      </c>
      <c r="K5" s="172">
        <f t="shared" si="11"/>
        <v>675</v>
      </c>
      <c r="L5" s="172">
        <f t="shared" si="11"/>
        <v>1800</v>
      </c>
      <c r="M5" s="172">
        <f t="shared" si="11"/>
        <v>0</v>
      </c>
      <c r="N5" s="172">
        <f t="shared" si="11"/>
        <v>54403.419999999991</v>
      </c>
      <c r="O5" s="172">
        <f t="shared" si="11"/>
        <v>456152.56519999995</v>
      </c>
    </row>
    <row r="6" spans="1:15" ht="14.65" thickBot="1" x14ac:dyDescent="0.5">
      <c r="B6" s="109"/>
      <c r="C6" s="109"/>
      <c r="D6" s="109"/>
      <c r="E6" s="110"/>
      <c r="F6" s="110"/>
      <c r="G6" s="111"/>
      <c r="H6" s="111"/>
      <c r="I6" s="110"/>
      <c r="J6" s="110"/>
      <c r="K6" s="110"/>
      <c r="L6" s="110"/>
      <c r="M6" s="110"/>
      <c r="N6" s="110"/>
      <c r="O6" s="110"/>
    </row>
    <row r="7" spans="1:15" x14ac:dyDescent="0.45">
      <c r="B7" s="109"/>
      <c r="C7" s="109"/>
      <c r="D7" s="109"/>
      <c r="E7" s="112" t="s">
        <v>128</v>
      </c>
      <c r="F7" s="113"/>
      <c r="G7" s="109"/>
      <c r="H7" s="109"/>
      <c r="I7" s="109"/>
      <c r="J7" s="109"/>
      <c r="K7" s="109"/>
      <c r="L7" s="109"/>
      <c r="M7" s="109"/>
      <c r="N7" s="109"/>
      <c r="O7" s="109"/>
    </row>
    <row r="8" spans="1:15" x14ac:dyDescent="0.45">
      <c r="B8" s="109"/>
      <c r="C8" s="109"/>
      <c r="D8" s="109"/>
      <c r="E8" s="114" t="s">
        <v>129</v>
      </c>
      <c r="F8" s="115">
        <f>E5+G5+H5+I5+J5</f>
        <v>397324.14519999997</v>
      </c>
      <c r="G8" s="154"/>
      <c r="H8" s="154">
        <f>F4+I4+J4+K4+L4</f>
        <v>4212.6343999999999</v>
      </c>
      <c r="I8" s="109"/>
      <c r="J8" s="109"/>
      <c r="K8" s="109"/>
      <c r="L8" s="109"/>
      <c r="M8" s="109"/>
      <c r="N8" s="109"/>
      <c r="O8" s="109"/>
    </row>
    <row r="9" spans="1:15" x14ac:dyDescent="0.45">
      <c r="B9" s="109"/>
      <c r="C9" s="109"/>
      <c r="D9" s="109"/>
      <c r="E9" s="114" t="s">
        <v>130</v>
      </c>
      <c r="F9" s="115">
        <f>N5</f>
        <v>54403.419999999991</v>
      </c>
      <c r="G9" s="109"/>
      <c r="H9" s="109">
        <f>H8/E4</f>
        <v>3.6469236096682595E-2</v>
      </c>
      <c r="I9" s="109"/>
      <c r="J9" s="109"/>
      <c r="K9" s="109"/>
      <c r="L9" s="109"/>
      <c r="M9" s="109"/>
      <c r="N9" s="109"/>
      <c r="O9" s="109"/>
    </row>
    <row r="10" spans="1:15" x14ac:dyDescent="0.45">
      <c r="B10" s="109"/>
      <c r="C10" s="109"/>
      <c r="D10" s="109"/>
      <c r="E10" s="114" t="s">
        <v>131</v>
      </c>
      <c r="F10" s="115">
        <f>+K5+L5+F5</f>
        <v>4425</v>
      </c>
      <c r="G10" s="109"/>
      <c r="H10" s="109"/>
      <c r="I10" s="109"/>
      <c r="J10" s="109"/>
      <c r="K10" s="109"/>
      <c r="L10" s="109"/>
      <c r="M10" s="109"/>
      <c r="N10" s="109"/>
      <c r="O10" s="109"/>
    </row>
    <row r="11" spans="1:15" ht="14.65" thickBot="1" x14ac:dyDescent="0.5">
      <c r="E11" s="116" t="s">
        <v>132</v>
      </c>
      <c r="F11" s="117"/>
    </row>
    <row r="12" spans="1:15" ht="14.65" thickBot="1" x14ac:dyDescent="0.5">
      <c r="D12" s="118"/>
      <c r="E12" s="119" t="s">
        <v>133</v>
      </c>
      <c r="F12" s="120">
        <f>F7+F8+F9+F10+F11</f>
        <v>456152.56519999995</v>
      </c>
    </row>
    <row r="13" spans="1:15" ht="14.65" thickTop="1" x14ac:dyDescent="0.45"/>
    <row r="15" spans="1:15" x14ac:dyDescent="0.45">
      <c r="C15" s="122"/>
    </row>
    <row r="20" spans="3:3" x14ac:dyDescent="0.45">
      <c r="C20" s="122"/>
    </row>
    <row r="21" spans="3:3" x14ac:dyDescent="0.45">
      <c r="C21" s="122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85C21-5236-47E7-8A72-35C83CF02D39}">
  <dimension ref="A1:J15"/>
  <sheetViews>
    <sheetView showGridLines="0" zoomScale="130" zoomScaleNormal="130" workbookViewId="0">
      <selection activeCell="D6" sqref="D6"/>
    </sheetView>
  </sheetViews>
  <sheetFormatPr defaultColWidth="11.33203125" defaultRowHeight="14.25" x14ac:dyDescent="0.45"/>
  <cols>
    <col min="3" max="3" width="39.33203125" customWidth="1"/>
    <col min="4" max="4" width="20.33203125" customWidth="1"/>
    <col min="5" max="6" width="17.33203125" customWidth="1"/>
    <col min="7" max="7" width="53.265625" customWidth="1"/>
    <col min="8" max="8" width="88.06640625" customWidth="1"/>
  </cols>
  <sheetData>
    <row r="1" spans="1:10" x14ac:dyDescent="0.45">
      <c r="A1" s="453" t="s">
        <v>135</v>
      </c>
      <c r="B1" s="453"/>
      <c r="C1" s="453"/>
      <c r="D1" s="453"/>
      <c r="E1" s="453"/>
      <c r="F1" s="144"/>
    </row>
    <row r="3" spans="1:10" ht="28.5" x14ac:dyDescent="0.45">
      <c r="B3" s="83" t="s">
        <v>78</v>
      </c>
      <c r="C3" s="83" t="s">
        <v>79</v>
      </c>
      <c r="D3" s="26" t="s">
        <v>5</v>
      </c>
      <c r="E3" s="26" t="s">
        <v>6</v>
      </c>
      <c r="F3" s="26">
        <v>2023</v>
      </c>
      <c r="G3" s="26" t="s">
        <v>80</v>
      </c>
      <c r="H3" s="26" t="s">
        <v>81</v>
      </c>
      <c r="J3" s="5"/>
    </row>
    <row r="4" spans="1:10" ht="114.75" customHeight="1" x14ac:dyDescent="0.45">
      <c r="B4" s="24">
        <v>3</v>
      </c>
      <c r="C4" s="40" t="s">
        <v>136</v>
      </c>
      <c r="D4" s="27">
        <v>150000</v>
      </c>
      <c r="E4" s="27">
        <f>ROUNDUP(424116/3,-4)</f>
        <v>150000</v>
      </c>
      <c r="F4" s="146">
        <f>ROUNDUP(424116/3,-4)</f>
        <v>150000</v>
      </c>
      <c r="G4" s="4" t="s">
        <v>137</v>
      </c>
      <c r="H4" s="4" t="s">
        <v>138</v>
      </c>
    </row>
    <row r="5" spans="1:10" ht="111" customHeight="1" x14ac:dyDescent="0.45">
      <c r="B5" s="24">
        <v>4</v>
      </c>
      <c r="C5" s="40" t="s">
        <v>139</v>
      </c>
      <c r="D5" s="28">
        <v>40000</v>
      </c>
      <c r="E5" s="28">
        <f>ROUNDUP(66203/2,-4)</f>
        <v>40000</v>
      </c>
      <c r="F5" s="146">
        <f>ROUNDUP(66203/2,-4)</f>
        <v>40000</v>
      </c>
      <c r="G5" s="4" t="s">
        <v>140</v>
      </c>
      <c r="H5" s="4" t="s">
        <v>141</v>
      </c>
    </row>
    <row r="6" spans="1:10" x14ac:dyDescent="0.45">
      <c r="B6" s="5"/>
      <c r="C6" s="5"/>
    </row>
    <row r="7" spans="1:10" x14ac:dyDescent="0.45">
      <c r="B7" s="5"/>
      <c r="C7" s="5"/>
    </row>
    <row r="8" spans="1:10" x14ac:dyDescent="0.45">
      <c r="G8" s="136"/>
    </row>
    <row r="14" spans="1:10" x14ac:dyDescent="0.45">
      <c r="G14" s="123"/>
    </row>
    <row r="15" spans="1:10" x14ac:dyDescent="0.45">
      <c r="G15" s="123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F55ED-C59A-4164-8373-3E238BA812D7}">
  <dimension ref="A1:I11"/>
  <sheetViews>
    <sheetView showGridLines="0" topLeftCell="A4" zoomScale="115" zoomScaleNormal="115" workbookViewId="0">
      <selection activeCell="D14" sqref="D13:D14"/>
    </sheetView>
  </sheetViews>
  <sheetFormatPr defaultColWidth="11.33203125" defaultRowHeight="14.25" x14ac:dyDescent="0.45"/>
  <cols>
    <col min="3" max="4" width="33.33203125" customWidth="1"/>
    <col min="5" max="5" width="14.265625" bestFit="1" customWidth="1"/>
    <col min="6" max="6" width="38.33203125" customWidth="1"/>
    <col min="7" max="7" width="123.59765625" customWidth="1"/>
    <col min="8" max="8" width="97.59765625" customWidth="1"/>
    <col min="9" max="9" width="43.73046875" customWidth="1"/>
  </cols>
  <sheetData>
    <row r="1" spans="1:9" x14ac:dyDescent="0.45">
      <c r="A1" s="453" t="s">
        <v>142</v>
      </c>
      <c r="B1" s="453"/>
      <c r="C1" s="453"/>
      <c r="D1" s="453"/>
      <c r="E1" s="453"/>
      <c r="F1" s="453"/>
    </row>
    <row r="3" spans="1:9" ht="28.5" x14ac:dyDescent="0.45">
      <c r="B3" s="83" t="s">
        <v>78</v>
      </c>
      <c r="C3" s="83" t="s">
        <v>79</v>
      </c>
      <c r="D3" s="83">
        <v>2023</v>
      </c>
      <c r="E3" s="26" t="s">
        <v>5</v>
      </c>
      <c r="F3" s="26" t="s">
        <v>6</v>
      </c>
      <c r="G3" s="26" t="s">
        <v>80</v>
      </c>
      <c r="H3" s="26" t="s">
        <v>81</v>
      </c>
      <c r="I3" s="5"/>
    </row>
    <row r="4" spans="1:9" ht="34.9" customHeight="1" x14ac:dyDescent="0.45">
      <c r="B4" s="24">
        <v>5.0999999999999996</v>
      </c>
      <c r="C4" s="24" t="s">
        <v>143</v>
      </c>
      <c r="D4" s="36">
        <v>3000</v>
      </c>
      <c r="E4" s="36">
        <v>1000</v>
      </c>
      <c r="F4" s="37">
        <v>1000</v>
      </c>
      <c r="G4" s="104"/>
      <c r="H4" s="4"/>
    </row>
    <row r="5" spans="1:9" ht="76.900000000000006" customHeight="1" x14ac:dyDescent="0.45">
      <c r="B5" s="24">
        <v>5.2</v>
      </c>
      <c r="C5" s="24" t="s">
        <v>144</v>
      </c>
      <c r="D5" s="38">
        <v>5000</v>
      </c>
      <c r="E5" s="38">
        <v>5000</v>
      </c>
      <c r="F5" s="37">
        <v>5000</v>
      </c>
      <c r="G5" s="4"/>
      <c r="H5" s="4"/>
    </row>
    <row r="6" spans="1:9" ht="30" customHeight="1" x14ac:dyDescent="0.45">
      <c r="B6" s="24">
        <v>5.3</v>
      </c>
      <c r="C6" s="24" t="s">
        <v>145</v>
      </c>
      <c r="D6" s="38">
        <v>50000</v>
      </c>
      <c r="E6" s="38">
        <v>50000</v>
      </c>
      <c r="F6" s="37">
        <v>50000</v>
      </c>
      <c r="G6" s="4"/>
      <c r="H6" s="4"/>
      <c r="I6" s="3"/>
    </row>
    <row r="7" spans="1:9" ht="132.75" customHeight="1" x14ac:dyDescent="0.45">
      <c r="B7" s="24">
        <v>5.4</v>
      </c>
      <c r="C7" s="24" t="s">
        <v>146</v>
      </c>
      <c r="D7" s="38">
        <v>65000</v>
      </c>
      <c r="E7" s="38">
        <v>65000</v>
      </c>
      <c r="F7" s="37">
        <v>65000</v>
      </c>
      <c r="G7" s="39" t="s">
        <v>147</v>
      </c>
      <c r="H7" s="39" t="s">
        <v>148</v>
      </c>
      <c r="I7" s="3"/>
    </row>
    <row r="8" spans="1:9" ht="72" customHeight="1" x14ac:dyDescent="0.45">
      <c r="B8" s="24">
        <v>5.5</v>
      </c>
      <c r="C8" s="24" t="s">
        <v>149</v>
      </c>
      <c r="D8" s="38">
        <v>12000</v>
      </c>
      <c r="E8" s="38">
        <v>10000</v>
      </c>
      <c r="F8" s="38">
        <f>(750*12)+1000</f>
        <v>10000</v>
      </c>
      <c r="G8" s="4" t="s">
        <v>150</v>
      </c>
      <c r="H8" s="4" t="s">
        <v>151</v>
      </c>
    </row>
    <row r="9" spans="1:9" ht="28.5" x14ac:dyDescent="0.45">
      <c r="B9" s="24">
        <v>5.6</v>
      </c>
      <c r="C9" s="40" t="s">
        <v>152</v>
      </c>
      <c r="D9" s="38">
        <v>15000</v>
      </c>
      <c r="E9" s="38">
        <v>0</v>
      </c>
      <c r="F9" s="25">
        <v>0</v>
      </c>
      <c r="G9" s="13"/>
      <c r="H9" s="4"/>
    </row>
    <row r="11" spans="1:9" x14ac:dyDescent="0.45">
      <c r="A11" s="6"/>
      <c r="C11" s="6"/>
      <c r="D11" s="6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5BDB0-7EB1-4AB1-AFAD-CB471E9F0883}">
  <sheetPr>
    <tabColor rgb="FFCCCCFF"/>
  </sheetPr>
  <dimension ref="A1:I62"/>
  <sheetViews>
    <sheetView showGridLines="0" topLeftCell="A3" zoomScale="145" zoomScaleNormal="145" workbookViewId="0">
      <selection activeCell="F9" sqref="F9"/>
    </sheetView>
  </sheetViews>
  <sheetFormatPr defaultColWidth="11.33203125" defaultRowHeight="14.25" x14ac:dyDescent="0.45"/>
  <cols>
    <col min="1" max="1" width="26.73046875" customWidth="1"/>
    <col min="3" max="4" width="39.265625" customWidth="1"/>
    <col min="5" max="6" width="21.73046875" customWidth="1"/>
    <col min="7" max="7" width="68.73046875" customWidth="1"/>
    <col min="8" max="8" width="67" customWidth="1"/>
    <col min="10" max="10" width="43.73046875" customWidth="1"/>
  </cols>
  <sheetData>
    <row r="1" spans="1:9" ht="14.65" thickBot="1" x14ac:dyDescent="0.5">
      <c r="A1" s="79" t="s">
        <v>420</v>
      </c>
      <c r="B1" s="80"/>
      <c r="C1" s="80"/>
      <c r="D1" s="80"/>
      <c r="E1" s="81"/>
      <c r="F1" s="81"/>
    </row>
    <row r="2" spans="1:9" x14ac:dyDescent="0.45">
      <c r="A2" s="1"/>
      <c r="C2" s="1"/>
      <c r="D2" s="1"/>
    </row>
    <row r="3" spans="1:9" ht="28.5" x14ac:dyDescent="0.45">
      <c r="B3" s="83" t="s">
        <v>78</v>
      </c>
      <c r="C3" s="83" t="s">
        <v>79</v>
      </c>
      <c r="D3" s="86">
        <v>2025</v>
      </c>
      <c r="E3" s="26">
        <v>2026</v>
      </c>
      <c r="F3" s="26" t="s">
        <v>80</v>
      </c>
      <c r="G3" s="26" t="s">
        <v>81</v>
      </c>
      <c r="I3" s="5"/>
    </row>
    <row r="4" spans="1:9" ht="57" x14ac:dyDescent="0.45">
      <c r="A4" s="134"/>
      <c r="B4" s="24">
        <v>6.1</v>
      </c>
      <c r="C4" s="40" t="s">
        <v>153</v>
      </c>
      <c r="D4" s="153">
        <f>ROUNDUP((2*(F30+F32+F33))+(1*(F44+F46+F47)),-3)</f>
        <v>50000</v>
      </c>
      <c r="E4" s="153">
        <f>D4</f>
        <v>50000</v>
      </c>
      <c r="F4" s="4" t="s">
        <v>770</v>
      </c>
      <c r="G4" s="39" t="s">
        <v>154</v>
      </c>
      <c r="I4" s="3"/>
    </row>
    <row r="5" spans="1:9" ht="57" x14ac:dyDescent="0.45">
      <c r="A5" s="134"/>
      <c r="B5" s="24">
        <v>6.2</v>
      </c>
      <c r="C5" s="40" t="s">
        <v>155</v>
      </c>
      <c r="D5" s="153">
        <f>ROUNDUP((2*F31)+(1*F45),-3)</f>
        <v>30000</v>
      </c>
      <c r="E5" s="153">
        <f>D5</f>
        <v>30000</v>
      </c>
      <c r="F5" s="4" t="s">
        <v>770</v>
      </c>
      <c r="G5" s="39" t="s">
        <v>154</v>
      </c>
      <c r="I5" s="3"/>
    </row>
    <row r="6" spans="1:9" ht="57" x14ac:dyDescent="0.45">
      <c r="A6" s="134"/>
      <c r="B6" s="24">
        <v>6.3</v>
      </c>
      <c r="C6" s="40" t="s">
        <v>156</v>
      </c>
      <c r="D6" s="153">
        <f>ROUNDUP((8*F28)+(3*F43),-3)</f>
        <v>172000</v>
      </c>
      <c r="E6" s="153">
        <f>ROUNDUP((D6*1.03),-3)</f>
        <v>178000</v>
      </c>
      <c r="F6" s="4" t="s">
        <v>621</v>
      </c>
      <c r="G6" s="39" t="s">
        <v>158</v>
      </c>
      <c r="I6" s="3"/>
    </row>
    <row r="8" spans="1:9" x14ac:dyDescent="0.45">
      <c r="C8" s="3"/>
    </row>
    <row r="11" spans="1:9" x14ac:dyDescent="0.45">
      <c r="C11" s="14" t="s">
        <v>572</v>
      </c>
    </row>
    <row r="12" spans="1:9" ht="14.65" thickBot="1" x14ac:dyDescent="0.5">
      <c r="C12" s="14"/>
    </row>
    <row r="13" spans="1:9" ht="14.65" thickBot="1" x14ac:dyDescent="0.5">
      <c r="C13" s="188" t="s">
        <v>573</v>
      </c>
      <c r="D13" s="189" t="s">
        <v>574</v>
      </c>
    </row>
    <row r="14" spans="1:9" ht="28.9" customHeight="1" thickBot="1" x14ac:dyDescent="0.5">
      <c r="C14" s="190" t="s">
        <v>575</v>
      </c>
      <c r="D14" s="192"/>
    </row>
    <row r="15" spans="1:9" ht="15" thickBot="1" x14ac:dyDescent="0.5">
      <c r="C15" s="193" t="s">
        <v>576</v>
      </c>
      <c r="D15" s="191" t="s">
        <v>577</v>
      </c>
    </row>
    <row r="16" spans="1:9" ht="15" thickBot="1" x14ac:dyDescent="0.5">
      <c r="C16" s="193" t="s">
        <v>578</v>
      </c>
      <c r="D16" s="191" t="s">
        <v>579</v>
      </c>
    </row>
    <row r="17" spans="2:6" ht="28.9" thickBot="1" x14ac:dyDescent="0.5">
      <c r="C17" s="190" t="s">
        <v>580</v>
      </c>
      <c r="D17" s="191"/>
    </row>
    <row r="18" spans="2:6" ht="15" thickBot="1" x14ac:dyDescent="0.5">
      <c r="C18" s="193" t="s">
        <v>581</v>
      </c>
      <c r="D18" s="191" t="s">
        <v>582</v>
      </c>
    </row>
    <row r="19" spans="2:6" ht="15" thickBot="1" x14ac:dyDescent="0.5">
      <c r="C19" s="193" t="s">
        <v>583</v>
      </c>
      <c r="D19" s="191" t="s">
        <v>584</v>
      </c>
    </row>
    <row r="20" spans="2:6" ht="28.9" thickBot="1" x14ac:dyDescent="0.5">
      <c r="C20" s="190" t="s">
        <v>585</v>
      </c>
      <c r="D20" s="191" t="s">
        <v>584</v>
      </c>
    </row>
    <row r="21" spans="2:6" x14ac:dyDescent="0.45">
      <c r="C21" s="14"/>
    </row>
    <row r="22" spans="2:6" x14ac:dyDescent="0.45">
      <c r="C22" s="14" t="s">
        <v>586</v>
      </c>
    </row>
    <row r="23" spans="2:6" x14ac:dyDescent="0.45">
      <c r="C23" s="187"/>
    </row>
    <row r="24" spans="2:6" x14ac:dyDescent="0.45">
      <c r="B24" s="196" t="s">
        <v>619</v>
      </c>
      <c r="C24" s="14" t="s">
        <v>587</v>
      </c>
    </row>
    <row r="25" spans="2:6" x14ac:dyDescent="0.45">
      <c r="C25" s="14" t="s">
        <v>588</v>
      </c>
    </row>
    <row r="26" spans="2:6" ht="14.65" thickBot="1" x14ac:dyDescent="0.5">
      <c r="C26" s="187"/>
    </row>
    <row r="27" spans="2:6" ht="14.65" thickBot="1" x14ac:dyDescent="0.5">
      <c r="C27" s="188" t="s">
        <v>573</v>
      </c>
      <c r="D27" s="189" t="s">
        <v>589</v>
      </c>
      <c r="E27" s="189" t="s">
        <v>590</v>
      </c>
      <c r="F27" s="189" t="s">
        <v>591</v>
      </c>
    </row>
    <row r="28" spans="2:6" x14ac:dyDescent="0.45">
      <c r="B28" s="143">
        <v>6.3</v>
      </c>
      <c r="C28" s="456" t="s">
        <v>592</v>
      </c>
      <c r="D28" s="456" t="s">
        <v>593</v>
      </c>
      <c r="E28" s="194" t="s">
        <v>594</v>
      </c>
      <c r="F28" s="454">
        <v>17500</v>
      </c>
    </row>
    <row r="29" spans="2:6" ht="14.65" thickBot="1" x14ac:dyDescent="0.5">
      <c r="B29" s="143"/>
      <c r="C29" s="457"/>
      <c r="D29" s="457"/>
      <c r="E29" s="191" t="s">
        <v>595</v>
      </c>
      <c r="F29" s="455"/>
    </row>
    <row r="30" spans="2:6" ht="14.65" thickBot="1" x14ac:dyDescent="0.5">
      <c r="B30" s="143">
        <v>6.1</v>
      </c>
      <c r="C30" s="195" t="s">
        <v>596</v>
      </c>
      <c r="D30" s="191" t="s">
        <v>593</v>
      </c>
      <c r="E30" s="191" t="s">
        <v>597</v>
      </c>
      <c r="F30" s="197">
        <v>10500</v>
      </c>
    </row>
    <row r="31" spans="2:6" ht="14.65" thickBot="1" x14ac:dyDescent="0.5">
      <c r="B31" s="143">
        <v>6.2</v>
      </c>
      <c r="C31" s="195" t="s">
        <v>598</v>
      </c>
      <c r="D31" s="191" t="s">
        <v>599</v>
      </c>
      <c r="E31" s="191"/>
      <c r="F31" s="197">
        <v>10000</v>
      </c>
    </row>
    <row r="32" spans="2:6" ht="14.65" thickBot="1" x14ac:dyDescent="0.5">
      <c r="B32" s="143">
        <v>6.1</v>
      </c>
      <c r="C32" s="195" t="s">
        <v>600</v>
      </c>
      <c r="D32" s="191" t="s">
        <v>601</v>
      </c>
      <c r="E32" s="191" t="s">
        <v>602</v>
      </c>
      <c r="F32" s="197">
        <v>3000</v>
      </c>
    </row>
    <row r="33" spans="2:6" x14ac:dyDescent="0.45">
      <c r="B33" s="143">
        <v>6.1</v>
      </c>
      <c r="C33" s="456" t="s">
        <v>603</v>
      </c>
      <c r="D33" s="194" t="s">
        <v>604</v>
      </c>
      <c r="E33" s="194" t="s">
        <v>606</v>
      </c>
      <c r="F33" s="454">
        <v>2705</v>
      </c>
    </row>
    <row r="34" spans="2:6" ht="14.65" thickBot="1" x14ac:dyDescent="0.5">
      <c r="C34" s="457"/>
      <c r="D34" s="191" t="s">
        <v>605</v>
      </c>
      <c r="E34" s="191" t="s">
        <v>607</v>
      </c>
      <c r="F34" s="455"/>
    </row>
    <row r="35" spans="2:6" ht="14.65" thickBot="1" x14ac:dyDescent="0.5">
      <c r="C35" s="195" t="s">
        <v>608</v>
      </c>
      <c r="D35" s="191"/>
      <c r="E35" s="191"/>
      <c r="F35" s="197" t="s">
        <v>609</v>
      </c>
    </row>
    <row r="36" spans="2:6" ht="14.65" thickBot="1" x14ac:dyDescent="0.5">
      <c r="C36" s="195" t="s">
        <v>133</v>
      </c>
      <c r="D36" s="191"/>
      <c r="E36" s="191"/>
      <c r="F36" s="197">
        <v>41005</v>
      </c>
    </row>
    <row r="37" spans="2:6" x14ac:dyDescent="0.45">
      <c r="C37" s="14"/>
    </row>
    <row r="38" spans="2:6" x14ac:dyDescent="0.45">
      <c r="B38" s="196" t="s">
        <v>620</v>
      </c>
      <c r="C38" s="14" t="s">
        <v>610</v>
      </c>
    </row>
    <row r="39" spans="2:6" x14ac:dyDescent="0.45">
      <c r="C39" s="14" t="s">
        <v>611</v>
      </c>
    </row>
    <row r="40" spans="2:6" x14ac:dyDescent="0.45">
      <c r="C40" s="14" t="s">
        <v>612</v>
      </c>
    </row>
    <row r="41" spans="2:6" ht="14.65" thickBot="1" x14ac:dyDescent="0.5">
      <c r="C41" s="187"/>
    </row>
    <row r="42" spans="2:6" ht="14.65" thickBot="1" x14ac:dyDescent="0.5">
      <c r="C42" s="188" t="s">
        <v>573</v>
      </c>
      <c r="D42" s="189" t="s">
        <v>589</v>
      </c>
      <c r="E42" s="189" t="s">
        <v>590</v>
      </c>
      <c r="F42" s="189" t="s">
        <v>591</v>
      </c>
    </row>
    <row r="43" spans="2:6" ht="14.65" thickBot="1" x14ac:dyDescent="0.5">
      <c r="B43" s="143">
        <v>6.3</v>
      </c>
      <c r="C43" s="195" t="s">
        <v>592</v>
      </c>
      <c r="D43" s="191" t="s">
        <v>593</v>
      </c>
      <c r="E43" s="191" t="s">
        <v>602</v>
      </c>
      <c r="F43" s="197">
        <v>10500</v>
      </c>
    </row>
    <row r="44" spans="2:6" ht="14.65" thickBot="1" x14ac:dyDescent="0.5">
      <c r="B44" s="143">
        <v>6.1</v>
      </c>
      <c r="C44" s="195" t="s">
        <v>596</v>
      </c>
      <c r="D44" s="191" t="s">
        <v>593</v>
      </c>
      <c r="E44" s="191" t="s">
        <v>613</v>
      </c>
      <c r="F44" s="197">
        <v>12600</v>
      </c>
    </row>
    <row r="45" spans="2:6" ht="14.65" thickBot="1" x14ac:dyDescent="0.5">
      <c r="B45" s="143">
        <v>6.2</v>
      </c>
      <c r="C45" s="195" t="s">
        <v>598</v>
      </c>
      <c r="D45" s="191" t="s">
        <v>614</v>
      </c>
      <c r="E45" s="191" t="s">
        <v>615</v>
      </c>
      <c r="F45" s="197">
        <v>9600</v>
      </c>
    </row>
    <row r="46" spans="2:6" ht="14.65" thickBot="1" x14ac:dyDescent="0.5">
      <c r="B46" s="143">
        <v>6.1</v>
      </c>
      <c r="C46" s="195" t="s">
        <v>600</v>
      </c>
      <c r="D46" s="191" t="s">
        <v>601</v>
      </c>
      <c r="E46" s="191" t="s">
        <v>602</v>
      </c>
      <c r="F46" s="197">
        <v>3000</v>
      </c>
    </row>
    <row r="47" spans="2:6" ht="14.65" thickBot="1" x14ac:dyDescent="0.5">
      <c r="B47" s="143">
        <v>6.1</v>
      </c>
      <c r="C47" s="195" t="s">
        <v>603</v>
      </c>
      <c r="D47" s="191" t="s">
        <v>616</v>
      </c>
      <c r="E47" s="191">
        <v>15</v>
      </c>
      <c r="F47" s="197">
        <v>1187.25</v>
      </c>
    </row>
    <row r="48" spans="2:6" ht="14.65" thickBot="1" x14ac:dyDescent="0.5">
      <c r="B48" s="143"/>
      <c r="C48" s="195" t="s">
        <v>608</v>
      </c>
      <c r="D48" s="191" t="s">
        <v>617</v>
      </c>
      <c r="E48" s="191" t="s">
        <v>602</v>
      </c>
      <c r="F48" s="197">
        <v>2400</v>
      </c>
    </row>
    <row r="49" spans="3:6" ht="14.65" thickBot="1" x14ac:dyDescent="0.5">
      <c r="C49" s="195" t="s">
        <v>133</v>
      </c>
      <c r="D49" s="191"/>
      <c r="E49" s="191"/>
      <c r="F49" s="197">
        <v>39287.25</v>
      </c>
    </row>
    <row r="50" spans="3:6" x14ac:dyDescent="0.45">
      <c r="C50" s="187"/>
      <c r="F50" s="100">
        <f>39287.25*2</f>
        <v>78574.5</v>
      </c>
    </row>
    <row r="51" spans="3:6" x14ac:dyDescent="0.45">
      <c r="C51" s="187"/>
    </row>
    <row r="52" spans="3:6" x14ac:dyDescent="0.45">
      <c r="C52" s="187"/>
    </row>
    <row r="53" spans="3:6" x14ac:dyDescent="0.45">
      <c r="C53" s="14" t="s">
        <v>618</v>
      </c>
    </row>
    <row r="54" spans="3:6" ht="14.65" thickBot="1" x14ac:dyDescent="0.5">
      <c r="C54" s="14"/>
    </row>
    <row r="55" spans="3:6" ht="14.65" thickBot="1" x14ac:dyDescent="0.5">
      <c r="C55" s="188" t="s">
        <v>573</v>
      </c>
      <c r="D55" s="189" t="s">
        <v>574</v>
      </c>
    </row>
    <row r="56" spans="3:6" ht="29.75" customHeight="1" thickBot="1" x14ac:dyDescent="0.5">
      <c r="C56" s="190" t="s">
        <v>575</v>
      </c>
      <c r="D56" s="192"/>
    </row>
    <row r="57" spans="3:6" ht="15" thickBot="1" x14ac:dyDescent="0.5">
      <c r="C57" s="193" t="s">
        <v>576</v>
      </c>
      <c r="D57" s="191" t="s">
        <v>577</v>
      </c>
    </row>
    <row r="58" spans="3:6" ht="14.65" x14ac:dyDescent="0.45">
      <c r="C58" s="193" t="s">
        <v>578</v>
      </c>
      <c r="D58" s="191" t="s">
        <v>579</v>
      </c>
    </row>
    <row r="59" spans="3:6" ht="28.9" thickBot="1" x14ac:dyDescent="0.5">
      <c r="C59" s="190" t="s">
        <v>580</v>
      </c>
      <c r="D59" s="191"/>
    </row>
    <row r="60" spans="3:6" ht="15" thickBot="1" x14ac:dyDescent="0.5">
      <c r="C60" s="193" t="s">
        <v>581</v>
      </c>
      <c r="D60" s="191" t="s">
        <v>582</v>
      </c>
    </row>
    <row r="61" spans="3:6" ht="15" thickBot="1" x14ac:dyDescent="0.5">
      <c r="C61" s="193" t="s">
        <v>583</v>
      </c>
      <c r="D61" s="191" t="s">
        <v>584</v>
      </c>
    </row>
    <row r="62" spans="3:6" ht="28.9" thickBot="1" x14ac:dyDescent="0.5">
      <c r="C62" s="190" t="s">
        <v>585</v>
      </c>
      <c r="D62" s="191" t="s">
        <v>584</v>
      </c>
    </row>
  </sheetData>
  <mergeCells count="5">
    <mergeCell ref="F28:F29"/>
    <mergeCell ref="C33:C34"/>
    <mergeCell ref="F33:F34"/>
    <mergeCell ref="C28:C29"/>
    <mergeCell ref="D28:D2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32540DF33244789E30DD56EA5F461" ma:contentTypeVersion="12" ma:contentTypeDescription="Create a new document." ma:contentTypeScope="" ma:versionID="4e8daa0949bf9d97c5b0f8cb26205f02">
  <xsd:schema xmlns:xsd="http://www.w3.org/2001/XMLSchema" xmlns:xs="http://www.w3.org/2001/XMLSchema" xmlns:p="http://schemas.microsoft.com/office/2006/metadata/properties" xmlns:ns2="b210c9d6-6f0f-4fc9-a608-c1b56c9d45b4" xmlns:ns3="a266ca17-90ff-4ae2-912c-d38575d76587" targetNamespace="http://schemas.microsoft.com/office/2006/metadata/properties" ma:root="true" ma:fieldsID="8af234dc9cdf3fc9d6b692187f8ee15d" ns2:_="" ns3:_="">
    <xsd:import namespace="b210c9d6-6f0f-4fc9-a608-c1b56c9d45b4"/>
    <xsd:import namespace="a266ca17-90ff-4ae2-912c-d38575d76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0c9d6-6f0f-4fc9-a608-c1b56c9d4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66ca17-90ff-4ae2-912c-d38575d76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B77DA1-9FA9-4289-B5A9-BB3D836EC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0c9d6-6f0f-4fc9-a608-c1b56c9d45b4"/>
    <ds:schemaRef ds:uri="a266ca17-90ff-4ae2-912c-d38575d76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75B0A5-D68B-4BE2-9369-3DD957C175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83EC17-B982-48E3-98D2-1868EA27FB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CAPE - DRAFT</vt:lpstr>
      <vt:lpstr>1 Revenue</vt:lpstr>
      <vt:lpstr>2 Salaries and benefits</vt:lpstr>
      <vt:lpstr>2.1 Excluded Staff Salaries</vt:lpstr>
      <vt:lpstr>2.2 Unionized Salaries</vt:lpstr>
      <vt:lpstr>2024 Positions</vt:lpstr>
      <vt:lpstr>3-4 Severance Pay</vt:lpstr>
      <vt:lpstr>5 Office_Telecom</vt:lpstr>
      <vt:lpstr>6 Education-Members &amp; Stewards</vt:lpstr>
      <vt:lpstr>7 Professional fees</vt:lpstr>
      <vt:lpstr>10 Office &amp; Admin</vt:lpstr>
      <vt:lpstr>9 Equipment </vt:lpstr>
      <vt:lpstr>13.2 Software &amp; Licenses</vt:lpstr>
      <vt:lpstr>12 Rent and operating expenses</vt:lpstr>
      <vt:lpstr>12 Travel</vt:lpstr>
      <vt:lpstr>13 Meetings</vt:lpstr>
      <vt:lpstr>14 Collective Bargaining</vt:lpstr>
      <vt:lpstr>17 CLC </vt:lpstr>
      <vt:lpstr>16 Local Rebates</vt:lpstr>
      <vt:lpstr>17 Donations</vt:lpstr>
      <vt:lpstr>18 Defense Funds</vt:lpstr>
      <vt:lpstr>19 Contingency</vt:lpstr>
      <vt:lpstr>CAPITAL RESERVES</vt:lpstr>
      <vt:lpstr>AMORTIZATION FY21-22</vt:lpstr>
      <vt:lpstr>AMORTIZATION FY23</vt:lpstr>
      <vt:lpstr>AMORTIZATION FY23-24</vt:lpstr>
      <vt:lpstr>Sheet1</vt:lpstr>
      <vt:lpstr>'CAPE - DRAFT'!Print_Area</vt:lpstr>
      <vt:lpstr>'CAPE - DRAFT'!Print_Titles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Therien</dc:creator>
  <cp:keywords/>
  <dc:description/>
  <cp:lastModifiedBy>Sarra Ndayishimiye</cp:lastModifiedBy>
  <cp:revision/>
  <cp:lastPrinted>2024-10-03T13:36:02Z</cp:lastPrinted>
  <dcterms:created xsi:type="dcterms:W3CDTF">2018-06-21T16:15:19Z</dcterms:created>
  <dcterms:modified xsi:type="dcterms:W3CDTF">2024-10-03T14:02:15Z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0x01010048932540DF33244789E30DD56EA5F461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2021-05-20T14:45:47Z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849e4dc4-7e7d-4479-afc4-e94d50d12f07</vt:lpwstr>
  </property>
  <property fmtid="{D5CDD505-2E9C-101B-9397-08002B2CF9AE}" pid="9" name="MSIP_Label_ea60d57e-af5b-4752-ac57-3e4f28ca11dc_ContentBits">
    <vt:lpwstr>0</vt:lpwstr>
  </property>
</Properties>
</file>